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35" firstSheet="1" activeTab="2"/>
  </bookViews>
  <sheets>
    <sheet name="Production and Price Assumption" sheetId="1" r:id="rId1"/>
    <sheet name="Detailed Stocker Assumptions" sheetId="2" r:id="rId2"/>
    <sheet name="Budget Format" sheetId="3" r:id="rId3"/>
  </sheets>
  <definedNames/>
  <calcPr fullCalcOnLoad="1"/>
</workbook>
</file>

<file path=xl/sharedStrings.xml><?xml version="1.0" encoding="utf-8"?>
<sst xmlns="http://schemas.openxmlformats.org/spreadsheetml/2006/main" count="299" uniqueCount="178">
  <si>
    <t>Production Assumptions</t>
  </si>
  <si>
    <t xml:space="preserve">   Steers</t>
  </si>
  <si>
    <t xml:space="preserve">   Heifers</t>
  </si>
  <si>
    <t>Management Assumptions</t>
  </si>
  <si>
    <t>Animal Expenses:</t>
  </si>
  <si>
    <t xml:space="preserve">    Livestock Feed</t>
  </si>
  <si>
    <t>Alfalfa Hay</t>
  </si>
  <si>
    <t>Grass Hay</t>
  </si>
  <si>
    <t>Other Roughages</t>
  </si>
  <si>
    <t>Grains/Concentrates</t>
  </si>
  <si>
    <t>Protein Supplement</t>
  </si>
  <si>
    <t>Salt/Mineral</t>
  </si>
  <si>
    <t>Other Livestock Feed</t>
  </si>
  <si>
    <t>Unit</t>
  </si>
  <si>
    <t>Price per Unit</t>
  </si>
  <si>
    <t>Costs</t>
  </si>
  <si>
    <t>Total Value</t>
  </si>
  <si>
    <t>ton</t>
  </si>
  <si>
    <t>Description</t>
  </si>
  <si>
    <t>Total Qty.</t>
  </si>
  <si>
    <t>Subtotal Livestock Feed</t>
  </si>
  <si>
    <t>Medical Supplies</t>
  </si>
  <si>
    <t>each</t>
  </si>
  <si>
    <t>Misc. Medicine</t>
  </si>
  <si>
    <t xml:space="preserve">   Livestock Supplies</t>
  </si>
  <si>
    <t>Feeding Supplies</t>
  </si>
  <si>
    <t>Tack</t>
  </si>
  <si>
    <t>Ear Tags</t>
  </si>
  <si>
    <t>Other Supplies</t>
  </si>
  <si>
    <t>Freight and Trucking</t>
  </si>
  <si>
    <t>Commission/Yardage</t>
  </si>
  <si>
    <t>Brand Inspection</t>
  </si>
  <si>
    <t>Health Inspection</t>
  </si>
  <si>
    <t>Hedging Expense</t>
  </si>
  <si>
    <t>Other Marketing</t>
  </si>
  <si>
    <t>Subtotal of Livestock Supplies</t>
  </si>
  <si>
    <t xml:space="preserve">   Marketing</t>
  </si>
  <si>
    <t>mile</t>
  </si>
  <si>
    <t>pct.</t>
  </si>
  <si>
    <t>hd.</t>
  </si>
  <si>
    <t>QTY</t>
  </si>
  <si>
    <t>Steer Calves</t>
  </si>
  <si>
    <t>cwt</t>
  </si>
  <si>
    <t># of Head</t>
  </si>
  <si>
    <t>Average  Weights</t>
  </si>
  <si>
    <t>Subtotal of Marketing Expenses</t>
  </si>
  <si>
    <t>Labor</t>
  </si>
  <si>
    <t>Wages</t>
  </si>
  <si>
    <t>FICA</t>
  </si>
  <si>
    <t>Contract Labor</t>
  </si>
  <si>
    <t>Professional Fees</t>
  </si>
  <si>
    <t>Workmen's Comp.</t>
  </si>
  <si>
    <t>Subtotal of Labor Expenses</t>
  </si>
  <si>
    <t>#of Stockers</t>
  </si>
  <si>
    <t>Death Loss</t>
  </si>
  <si>
    <t>Per Steer</t>
  </si>
  <si>
    <t>Spring/Summer Feeding Days</t>
  </si>
  <si>
    <t>days</t>
  </si>
  <si>
    <t># of head</t>
  </si>
  <si>
    <t>Steers</t>
  </si>
  <si>
    <t>Heifers</t>
  </si>
  <si>
    <t xml:space="preserve">Average  Weights </t>
  </si>
  <si>
    <t>Production Entries</t>
  </si>
  <si>
    <t>Price Entries</t>
  </si>
  <si>
    <t>Cattle Prices</t>
  </si>
  <si>
    <t xml:space="preserve">Heifer Calves </t>
  </si>
  <si>
    <t>Comment</t>
  </si>
  <si>
    <t>Livestock Feed Prices</t>
  </si>
  <si>
    <t>Alfalfa</t>
  </si>
  <si>
    <t>Grass</t>
  </si>
  <si>
    <t>Daily Gain</t>
  </si>
  <si>
    <t>Days on Feed</t>
  </si>
  <si>
    <t>Summer Stockers</t>
  </si>
  <si>
    <t>lb/day</t>
  </si>
  <si>
    <t>Spring/Summer Daily Gain</t>
  </si>
  <si>
    <t>Feeder (steer)</t>
  </si>
  <si>
    <t>Feeder (heifer)</t>
  </si>
  <si>
    <t>Steer</t>
  </si>
  <si>
    <t>Ending Wt. (cwt)</t>
  </si>
  <si>
    <t>Heifer</t>
  </si>
  <si>
    <t>Beginning Wt.(cwt)</t>
  </si>
  <si>
    <t>Qty. per Stocker</t>
  </si>
  <si>
    <t>lbs/day</t>
  </si>
  <si>
    <t xml:space="preserve">   Livestock Medical and Implants</t>
  </si>
  <si>
    <t>Vaccines</t>
  </si>
  <si>
    <t>Subtotal of Livestock Medical and Implants</t>
  </si>
  <si>
    <t>Per Head</t>
  </si>
  <si>
    <t>Summer Pasture</t>
  </si>
  <si>
    <t>Fall Pasture</t>
  </si>
  <si>
    <t>months</t>
  </si>
  <si>
    <t>Total Medical</t>
  </si>
  <si>
    <t>per head per month</t>
  </si>
  <si>
    <t>Steers (beginning)</t>
  </si>
  <si>
    <t>Heifers(beginning)</t>
  </si>
  <si>
    <t>Pasture</t>
  </si>
  <si>
    <t>Colorado Livestock Enterprise Budget</t>
  </si>
  <si>
    <t xml:space="preserve">Enterprise: </t>
  </si>
  <si>
    <t>Region:</t>
  </si>
  <si>
    <t>Rate of Gain:</t>
  </si>
  <si>
    <t>Total Herd Size:</t>
  </si>
  <si>
    <t>Year:</t>
  </si>
  <si>
    <t>Livestock Description</t>
  </si>
  <si>
    <t>Units</t>
  </si>
  <si>
    <t>Market Weight</t>
  </si>
  <si>
    <t>Market Month (s)</t>
  </si>
  <si>
    <t>Number of Head Marketed</t>
  </si>
  <si>
    <t xml:space="preserve">Steers </t>
  </si>
  <si>
    <t>&lt;&lt;Operating Receipts&gt;&gt;</t>
  </si>
  <si>
    <t>Livestock Sales:</t>
  </si>
  <si>
    <t>Price</t>
  </si>
  <si>
    <t>Value Per Head</t>
  </si>
  <si>
    <t>Total</t>
  </si>
  <si>
    <t>Your Value</t>
  </si>
  <si>
    <t>&lt;&lt;Direct Costs&gt;&gt;</t>
  </si>
  <si>
    <t>Feed, Purchased and Raised:</t>
  </si>
  <si>
    <t>Vaccine</t>
  </si>
  <si>
    <t>Total Feed Expenses</t>
  </si>
  <si>
    <t>Other Operating Costs:</t>
  </si>
  <si>
    <t>Repairs: Machinery, Bldg. &amp; Equipment</t>
  </si>
  <si>
    <t>Supplies</t>
  </si>
  <si>
    <t>Misc.</t>
  </si>
  <si>
    <t>Marketing Expenses</t>
  </si>
  <si>
    <t>Interest on Operating Capital</t>
  </si>
  <si>
    <t>Total Other Operating Costs</t>
  </si>
  <si>
    <t>Weight</t>
  </si>
  <si>
    <t>Property and Ownership Costs:</t>
  </si>
  <si>
    <t>Depreciation</t>
  </si>
  <si>
    <t>Taxes</t>
  </si>
  <si>
    <t>Insurance</t>
  </si>
  <si>
    <t>Other</t>
  </si>
  <si>
    <t>Total Property and Ownership Costs</t>
  </si>
  <si>
    <t>per ton</t>
  </si>
  <si>
    <t xml:space="preserve">   Total</t>
  </si>
  <si>
    <t xml:space="preserve">Other Costs </t>
  </si>
  <si>
    <t>per hour</t>
  </si>
  <si>
    <t xml:space="preserve">Operating Interest </t>
  </si>
  <si>
    <t>per head</t>
  </si>
  <si>
    <t>Stocker Budget - Season Long Stocking</t>
  </si>
  <si>
    <t>Ending Value ($)</t>
  </si>
  <si>
    <t>Operating Capital Invested</t>
  </si>
  <si>
    <t>Operating Interest Charge</t>
  </si>
  <si>
    <t>Other Costs</t>
  </si>
  <si>
    <t>Legal/Professional</t>
  </si>
  <si>
    <t>Utilities/Fuel/Oil</t>
  </si>
  <si>
    <t>Facility Repairs</t>
  </si>
  <si>
    <t>Miscellaneous</t>
  </si>
  <si>
    <t>per hd.</t>
  </si>
  <si>
    <t>Subtotal of Other Costs</t>
  </si>
  <si>
    <t>Cost of Livestock</t>
  </si>
  <si>
    <t>Gross Margin Per Head</t>
  </si>
  <si>
    <t xml:space="preserve">  Steers</t>
  </si>
  <si>
    <t xml:space="preserve">  Heifers</t>
  </si>
  <si>
    <t>Salt &amp; Mineral</t>
  </si>
  <si>
    <t>Utilities, Fuel, Oil, Lubricants</t>
  </si>
  <si>
    <t>General Overhead       (1% of operating costs)</t>
  </si>
  <si>
    <t>Stockers on Summer Pasture</t>
  </si>
  <si>
    <t>Total Operating Costs</t>
  </si>
  <si>
    <t xml:space="preserve">Property and Ownership Costs </t>
  </si>
  <si>
    <t>Useful life</t>
  </si>
  <si>
    <t>Salvage</t>
  </si>
  <si>
    <t>Interest</t>
  </si>
  <si>
    <t>Tax rate</t>
  </si>
  <si>
    <t>(years)</t>
  </si>
  <si>
    <t>value, (%)</t>
  </si>
  <si>
    <t>rate, (%)</t>
  </si>
  <si>
    <t>(%)</t>
  </si>
  <si>
    <t xml:space="preserve"> Investment in Equipment</t>
  </si>
  <si>
    <t xml:space="preserve"> Investment in Buldings</t>
  </si>
  <si>
    <t>$/per head</t>
  </si>
  <si>
    <t>Overhead</t>
  </si>
  <si>
    <t>Subtotal of Ownership Costs</t>
  </si>
  <si>
    <t>Per Stocker</t>
  </si>
  <si>
    <t>Total Livestock, Operating and Ownership Costs</t>
  </si>
  <si>
    <t>Net Receipts (Return to capital, mgt., and risk)</t>
  </si>
  <si>
    <t>Production and Price Assumptions</t>
  </si>
  <si>
    <t>Detailed Stocker Assumptions</t>
  </si>
  <si>
    <t>hours/hd.</t>
  </si>
  <si>
    <t xml:space="preserve">per head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</si>
</sst>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_);\(#,##0.0\)"/>
    <numFmt numFmtId="167" formatCode="&quot;$&quot;#,##0.0_);\(&quot;$&quot;#,##0.0\)"/>
    <numFmt numFmtId="168" formatCode="&quot;$&quot;#,##0;[Red]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0.0%"/>
    <numFmt numFmtId="173" formatCode="[$$-409]#,##0.00;[Red]\-[$$-409]#,##0.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2" xfId="0" applyFill="1" applyBorder="1" applyAlignment="1">
      <alignment/>
    </xf>
    <xf numFmtId="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9" fontId="0" fillId="0" borderId="0" xfId="19" applyFill="1" applyAlignment="1">
      <alignment/>
    </xf>
    <xf numFmtId="2" fontId="0" fillId="2" borderId="0" xfId="0" applyNumberFormat="1" applyFill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7" fontId="0" fillId="2" borderId="0" xfId="17" applyNumberFormat="1" applyFill="1" applyBorder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ill="1" applyBorder="1" applyAlignment="1">
      <alignment/>
    </xf>
    <xf numFmtId="6" fontId="0" fillId="2" borderId="0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8" fontId="0" fillId="0" borderId="2" xfId="0" applyNumberFormat="1" applyBorder="1" applyAlignment="1">
      <alignment/>
    </xf>
    <xf numFmtId="0" fontId="0" fillId="0" borderId="0" xfId="0" applyFont="1" applyFill="1" applyBorder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4" borderId="0" xfId="19" applyNumberFormat="1" applyFont="1" applyFill="1" applyAlignment="1">
      <alignment/>
    </xf>
    <xf numFmtId="0" fontId="0" fillId="4" borderId="0" xfId="0" applyFill="1" applyAlignment="1">
      <alignment/>
    </xf>
    <xf numFmtId="6" fontId="0" fillId="4" borderId="0" xfId="0" applyNumberFormat="1" applyFill="1" applyAlignment="1">
      <alignment/>
    </xf>
    <xf numFmtId="0" fontId="0" fillId="4" borderId="2" xfId="0" applyFill="1" applyBorder="1" applyAlignment="1">
      <alignment/>
    </xf>
    <xf numFmtId="6" fontId="0" fillId="0" borderId="3" xfId="0" applyNumberFormat="1" applyFill="1" applyBorder="1" applyAlignment="1">
      <alignment/>
    </xf>
    <xf numFmtId="6" fontId="0" fillId="0" borderId="0" xfId="0" applyNumberFormat="1" applyAlignment="1">
      <alignment/>
    </xf>
    <xf numFmtId="9" fontId="0" fillId="2" borderId="0" xfId="19" applyFill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2" xfId="0" applyNumberFormat="1" applyBorder="1" applyAlignment="1">
      <alignment/>
    </xf>
    <xf numFmtId="44" fontId="0" fillId="0" borderId="2" xfId="17" applyBorder="1" applyAlignment="1">
      <alignment/>
    </xf>
    <xf numFmtId="8" fontId="0" fillId="4" borderId="0" xfId="0" applyNumberFormat="1" applyFill="1" applyAlignment="1">
      <alignment/>
    </xf>
    <xf numFmtId="7" fontId="0" fillId="0" borderId="2" xfId="0" applyNumberFormat="1" applyBorder="1" applyAlignment="1">
      <alignment/>
    </xf>
    <xf numFmtId="0" fontId="0" fillId="4" borderId="4" xfId="0" applyFill="1" applyBorder="1" applyAlignment="1">
      <alignment/>
    </xf>
    <xf numFmtId="44" fontId="0" fillId="4" borderId="4" xfId="0" applyNumberFormat="1" applyFill="1" applyBorder="1" applyAlignment="1">
      <alignment/>
    </xf>
    <xf numFmtId="44" fontId="0" fillId="4" borderId="4" xfId="17" applyFill="1" applyBorder="1" applyAlignment="1">
      <alignment/>
    </xf>
    <xf numFmtId="6" fontId="0" fillId="4" borderId="4" xfId="0" applyNumberFormat="1" applyFill="1" applyBorder="1" applyAlignment="1">
      <alignment/>
    </xf>
    <xf numFmtId="8" fontId="0" fillId="4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165" fontId="0" fillId="3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right"/>
    </xf>
    <xf numFmtId="44" fontId="0" fillId="0" borderId="0" xfId="17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0" xfId="0" applyNumberFormat="1" applyBorder="1" applyAlignment="1">
      <alignment horizontal="right"/>
    </xf>
    <xf numFmtId="0" fontId="1" fillId="4" borderId="14" xfId="0" applyFont="1" applyFill="1" applyBorder="1" applyAlignment="1">
      <alignment horizontal="left"/>
    </xf>
    <xf numFmtId="0" fontId="0" fillId="4" borderId="15" xfId="0" applyFill="1" applyBorder="1" applyAlignment="1">
      <alignment/>
    </xf>
    <xf numFmtId="0" fontId="1" fillId="0" borderId="16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0" fontId="1" fillId="4" borderId="14" xfId="0" applyFon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6" xfId="0" applyFont="1" applyBorder="1" applyAlignment="1">
      <alignment wrapText="1"/>
    </xf>
    <xf numFmtId="0" fontId="1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165" fontId="0" fillId="3" borderId="18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 quotePrefix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0" fontId="3" fillId="0" borderId="1" xfId="0" applyNumberFormat="1" applyFont="1" applyFill="1" applyBorder="1" applyAlignment="1" applyProtection="1" quotePrefix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172" fontId="3" fillId="0" borderId="2" xfId="0" applyNumberFormat="1" applyFont="1" applyFill="1" applyBorder="1" applyAlignment="1" applyProtection="1">
      <alignment/>
      <protection/>
    </xf>
    <xf numFmtId="173" fontId="3" fillId="0" borderId="2" xfId="0" applyNumberFormat="1" applyFont="1" applyFill="1" applyBorder="1" applyAlignment="1" applyProtection="1">
      <alignment/>
      <protection/>
    </xf>
    <xf numFmtId="44" fontId="3" fillId="0" borderId="0" xfId="17" applyFont="1" applyBorder="1" applyAlignment="1" applyProtection="1">
      <alignment/>
      <protection/>
    </xf>
    <xf numFmtId="44" fontId="3" fillId="0" borderId="2" xfId="17" applyFont="1" applyFill="1" applyBorder="1" applyAlignment="1" applyProtection="1">
      <alignment/>
      <protection/>
    </xf>
    <xf numFmtId="7" fontId="0" fillId="4" borderId="4" xfId="0" applyNumberFormat="1" applyFill="1" applyBorder="1" applyAlignment="1">
      <alignment/>
    </xf>
    <xf numFmtId="6" fontId="0" fillId="4" borderId="4" xfId="17" applyNumberFormat="1" applyFill="1" applyBorder="1" applyAlignment="1">
      <alignment/>
    </xf>
    <xf numFmtId="0" fontId="0" fillId="2" borderId="2" xfId="0" applyFill="1" applyBorder="1" applyAlignment="1">
      <alignment/>
    </xf>
    <xf numFmtId="37" fontId="0" fillId="2" borderId="0" xfId="0" applyNumberFormat="1" applyFill="1" applyAlignment="1">
      <alignment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9" fontId="3" fillId="2" borderId="0" xfId="0" applyNumberFormat="1" applyFont="1" applyFill="1" applyBorder="1" applyAlignment="1" applyProtection="1">
      <alignment/>
      <protection locked="0"/>
    </xf>
    <xf numFmtId="10" fontId="3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right"/>
      <protection/>
    </xf>
    <xf numFmtId="10" fontId="3" fillId="5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10" fontId="3" fillId="5" borderId="2" xfId="0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2" borderId="2" xfId="0" applyNumberFormat="1" applyFill="1" applyBorder="1" applyAlignment="1">
      <alignment/>
    </xf>
    <xf numFmtId="44" fontId="0" fillId="2" borderId="0" xfId="17" applyFill="1" applyAlignment="1">
      <alignment/>
    </xf>
    <xf numFmtId="44" fontId="0" fillId="2" borderId="2" xfId="17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5" zoomScaleNormal="75" workbookViewId="0" topLeftCell="A1">
      <selection activeCell="E21" sqref="E21"/>
    </sheetView>
  </sheetViews>
  <sheetFormatPr defaultColWidth="9.140625" defaultRowHeight="12.75"/>
  <cols>
    <col min="1" max="1" width="11.140625" style="0" bestFit="1" customWidth="1"/>
    <col min="3" max="3" width="9.7109375" style="0" bestFit="1" customWidth="1"/>
    <col min="11" max="11" width="11.28125" style="0" customWidth="1"/>
  </cols>
  <sheetData>
    <row r="1" ht="12.75">
      <c r="A1" s="1" t="s">
        <v>137</v>
      </c>
    </row>
    <row r="2" ht="12.75">
      <c r="A2" s="1" t="s">
        <v>174</v>
      </c>
    </row>
    <row r="3" ht="12.75">
      <c r="A3" s="27">
        <v>38101</v>
      </c>
    </row>
    <row r="5" spans="1:7" ht="12.75">
      <c r="A5" s="1" t="s">
        <v>62</v>
      </c>
      <c r="G5" s="1" t="s">
        <v>63</v>
      </c>
    </row>
    <row r="7" spans="1:11" ht="13.5" thickBot="1">
      <c r="A7" s="23" t="s">
        <v>72</v>
      </c>
      <c r="B7" s="13"/>
      <c r="C7" s="13"/>
      <c r="D7" s="13" t="s">
        <v>13</v>
      </c>
      <c r="G7" s="23" t="s">
        <v>67</v>
      </c>
      <c r="H7" s="13"/>
      <c r="I7" s="13"/>
      <c r="J7" s="23" t="s">
        <v>13</v>
      </c>
      <c r="K7" s="23" t="s">
        <v>66</v>
      </c>
    </row>
    <row r="8" spans="1:10" ht="12.75">
      <c r="A8" t="s">
        <v>59</v>
      </c>
      <c r="C8" s="19">
        <f>100</f>
        <v>100</v>
      </c>
      <c r="D8" t="s">
        <v>58</v>
      </c>
      <c r="G8" s="30" t="s">
        <v>87</v>
      </c>
      <c r="H8" s="25"/>
      <c r="I8" s="34">
        <v>18</v>
      </c>
      <c r="J8" s="30" t="s">
        <v>91</v>
      </c>
    </row>
    <row r="9" spans="1:10" ht="12.75">
      <c r="A9" t="s">
        <v>60</v>
      </c>
      <c r="C9" s="19">
        <f>100</f>
        <v>100</v>
      </c>
      <c r="D9" t="s">
        <v>58</v>
      </c>
      <c r="G9" s="41" t="s">
        <v>88</v>
      </c>
      <c r="H9" s="25"/>
      <c r="I9" s="34">
        <v>10</v>
      </c>
      <c r="J9" s="30" t="s">
        <v>91</v>
      </c>
    </row>
    <row r="10" spans="1:10" ht="12.75">
      <c r="A10" t="s">
        <v>70</v>
      </c>
      <c r="C10" s="15">
        <v>1.6</v>
      </c>
      <c r="D10" t="s">
        <v>73</v>
      </c>
      <c r="G10" t="s">
        <v>68</v>
      </c>
      <c r="I10" s="17">
        <v>80</v>
      </c>
      <c r="J10" t="s">
        <v>131</v>
      </c>
    </row>
    <row r="11" spans="1:10" ht="12.75">
      <c r="A11" t="s">
        <v>71</v>
      </c>
      <c r="C11" s="15">
        <v>123</v>
      </c>
      <c r="D11" t="s">
        <v>57</v>
      </c>
      <c r="G11" t="s">
        <v>69</v>
      </c>
      <c r="I11" s="17">
        <v>75</v>
      </c>
      <c r="J11" t="s">
        <v>131</v>
      </c>
    </row>
    <row r="12" spans="1:10" ht="12.75">
      <c r="A12" t="s">
        <v>54</v>
      </c>
      <c r="C12" s="50">
        <v>0.02</v>
      </c>
      <c r="G12" t="s">
        <v>8</v>
      </c>
      <c r="I12" s="15">
        <v>0</v>
      </c>
      <c r="J12" t="s">
        <v>131</v>
      </c>
    </row>
    <row r="13" spans="5:10" ht="12.75">
      <c r="E13" s="28"/>
      <c r="G13" t="s">
        <v>9</v>
      </c>
      <c r="I13" s="15">
        <v>0</v>
      </c>
      <c r="J13" t="s">
        <v>131</v>
      </c>
    </row>
    <row r="14" spans="1:10" ht="13.5" thickBot="1">
      <c r="A14" s="23" t="s">
        <v>61</v>
      </c>
      <c r="B14" s="13"/>
      <c r="C14" s="13"/>
      <c r="D14" s="23" t="s">
        <v>13</v>
      </c>
      <c r="G14" t="s">
        <v>10</v>
      </c>
      <c r="I14" s="17">
        <v>243</v>
      </c>
      <c r="J14" t="s">
        <v>131</v>
      </c>
    </row>
    <row r="15" spans="1:10" ht="12.75">
      <c r="A15" t="s">
        <v>92</v>
      </c>
      <c r="C15" s="22">
        <v>6</v>
      </c>
      <c r="D15" t="s">
        <v>42</v>
      </c>
      <c r="G15" t="s">
        <v>11</v>
      </c>
      <c r="I15" s="17">
        <v>450</v>
      </c>
      <c r="J15" t="s">
        <v>131</v>
      </c>
    </row>
    <row r="16" spans="1:9" ht="12.75">
      <c r="A16" t="s">
        <v>93</v>
      </c>
      <c r="C16" s="22">
        <v>5.5</v>
      </c>
      <c r="D16" t="s">
        <v>42</v>
      </c>
      <c r="I16" s="29"/>
    </row>
    <row r="17" spans="1:11" ht="13.5" thickBot="1">
      <c r="A17" s="7"/>
      <c r="B17" s="7"/>
      <c r="C17" s="33"/>
      <c r="D17" s="7"/>
      <c r="G17" s="23" t="s">
        <v>133</v>
      </c>
      <c r="H17" s="13"/>
      <c r="I17" s="48"/>
      <c r="J17" s="13"/>
      <c r="K17" s="13"/>
    </row>
    <row r="18" spans="7:10" ht="12.75">
      <c r="G18" t="s">
        <v>46</v>
      </c>
      <c r="I18" s="17">
        <v>10</v>
      </c>
      <c r="J18" s="7" t="s">
        <v>134</v>
      </c>
    </row>
    <row r="19" spans="7:9" ht="12.75">
      <c r="G19" t="s">
        <v>135</v>
      </c>
      <c r="I19" s="50">
        <v>0.09</v>
      </c>
    </row>
    <row r="20" ht="12.75">
      <c r="I20" s="19"/>
    </row>
    <row r="22" spans="7:11" ht="13.5" thickBot="1">
      <c r="G22" s="23" t="s">
        <v>64</v>
      </c>
      <c r="H22" s="13"/>
      <c r="I22" s="13"/>
      <c r="J22" s="23" t="s">
        <v>13</v>
      </c>
      <c r="K22" s="23" t="s">
        <v>66</v>
      </c>
    </row>
    <row r="23" spans="7:10" ht="12.75">
      <c r="G23" t="s">
        <v>41</v>
      </c>
      <c r="I23" s="26">
        <v>100</v>
      </c>
      <c r="J23" t="s">
        <v>42</v>
      </c>
    </row>
    <row r="24" spans="7:10" ht="12.75">
      <c r="G24" s="24" t="s">
        <v>65</v>
      </c>
      <c r="I24" s="26">
        <v>96</v>
      </c>
      <c r="J24" t="s">
        <v>42</v>
      </c>
    </row>
    <row r="25" spans="7:10" ht="12.75">
      <c r="G25" s="24" t="s">
        <v>75</v>
      </c>
      <c r="I25" s="18">
        <v>90</v>
      </c>
      <c r="J25" t="s">
        <v>42</v>
      </c>
    </row>
    <row r="26" spans="3:10" ht="12.75">
      <c r="C26" s="19"/>
      <c r="G26" s="24" t="s">
        <v>76</v>
      </c>
      <c r="I26" s="18">
        <v>85</v>
      </c>
      <c r="J26" t="s">
        <v>42</v>
      </c>
    </row>
    <row r="27" spans="7:9" ht="12.75">
      <c r="G27" s="24"/>
      <c r="I27" s="19"/>
    </row>
    <row r="28" spans="5:9" ht="12.75">
      <c r="E28" s="28"/>
      <c r="G28" s="24"/>
      <c r="I28" s="19"/>
    </row>
    <row r="29" spans="1:4" ht="12.75">
      <c r="A29" s="28"/>
      <c r="B29" s="25"/>
      <c r="C29" s="25"/>
      <c r="D29" s="28"/>
    </row>
    <row r="30" ht="12.75">
      <c r="C30" s="19"/>
    </row>
    <row r="31" ht="12.75">
      <c r="C31" s="19"/>
    </row>
    <row r="32" ht="12.75">
      <c r="C32" s="19"/>
    </row>
    <row r="33" ht="12.75">
      <c r="C33" s="19"/>
    </row>
    <row r="35" ht="12.75">
      <c r="E35" s="25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="60" zoomScaleNormal="75" workbookViewId="0" topLeftCell="A1">
      <selection activeCell="J81" sqref="J81"/>
    </sheetView>
  </sheetViews>
  <sheetFormatPr defaultColWidth="9.140625" defaultRowHeight="12.75"/>
  <cols>
    <col min="1" max="1" width="22.421875" style="0" customWidth="1"/>
    <col min="3" max="3" width="10.140625" style="0" bestFit="1" customWidth="1"/>
    <col min="4" max="5" width="9.00390625" style="0" bestFit="1" customWidth="1"/>
    <col min="6" max="6" width="15.00390625" style="0" bestFit="1" customWidth="1"/>
    <col min="8" max="8" width="12.421875" style="0" bestFit="1" customWidth="1"/>
    <col min="9" max="9" width="10.00390625" style="0" customWidth="1"/>
    <col min="10" max="10" width="12.57421875" style="0" bestFit="1" customWidth="1"/>
    <col min="11" max="11" width="9.00390625" style="0" bestFit="1" customWidth="1"/>
  </cols>
  <sheetData>
    <row r="1" ht="12.75">
      <c r="A1" s="1" t="s">
        <v>175</v>
      </c>
    </row>
    <row r="3" spans="1:9" ht="12.75">
      <c r="A3" s="1" t="s">
        <v>0</v>
      </c>
      <c r="F3" s="1" t="s">
        <v>3</v>
      </c>
      <c r="I3" s="1"/>
    </row>
    <row r="4" ht="12.75">
      <c r="B4" s="2" t="s">
        <v>43</v>
      </c>
    </row>
    <row r="5" spans="1:10" ht="12.75">
      <c r="A5" t="s">
        <v>53</v>
      </c>
      <c r="E5" t="s">
        <v>56</v>
      </c>
      <c r="G5" s="45">
        <f>'Production and Price Assumption'!C11</f>
        <v>123</v>
      </c>
      <c r="H5" t="s">
        <v>57</v>
      </c>
      <c r="J5" s="20"/>
    </row>
    <row r="6" spans="1:8" ht="12.75">
      <c r="A6" t="s">
        <v>1</v>
      </c>
      <c r="B6">
        <f>'Production and Price Assumption'!C8</f>
        <v>100</v>
      </c>
      <c r="E6" t="s">
        <v>74</v>
      </c>
      <c r="G6" s="45">
        <f>'Production and Price Assumption'!C10</f>
        <v>1.6</v>
      </c>
      <c r="H6" t="s">
        <v>82</v>
      </c>
    </row>
    <row r="7" spans="1:2" ht="12.75">
      <c r="A7" t="s">
        <v>2</v>
      </c>
      <c r="B7" s="31">
        <f>'Production and Price Assumption'!C9</f>
        <v>100</v>
      </c>
    </row>
    <row r="8" spans="1:2" ht="12.75">
      <c r="A8" t="s">
        <v>132</v>
      </c>
      <c r="B8">
        <f>SUM(B6:B7)</f>
        <v>200</v>
      </c>
    </row>
    <row r="9" spans="1:4" ht="12.75">
      <c r="A9" t="s">
        <v>54</v>
      </c>
      <c r="C9" s="21"/>
      <c r="D9" s="9"/>
    </row>
    <row r="11" spans="1:5" ht="12.75">
      <c r="A11" s="1" t="s">
        <v>44</v>
      </c>
      <c r="B11" s="32" t="s">
        <v>77</v>
      </c>
      <c r="C11" s="32" t="s">
        <v>79</v>
      </c>
      <c r="D11" s="2"/>
      <c r="E11" s="2"/>
    </row>
    <row r="12" spans="1:3" ht="12.75">
      <c r="A12" t="s">
        <v>80</v>
      </c>
      <c r="B12" s="43">
        <f>'Production and Price Assumption'!C15</f>
        <v>6</v>
      </c>
      <c r="C12" s="44">
        <f>'Production and Price Assumption'!C16</f>
        <v>5.5</v>
      </c>
    </row>
    <row r="13" spans="1:3" ht="12.75">
      <c r="A13" t="s">
        <v>78</v>
      </c>
      <c r="B13" s="42">
        <f>((G5*G6)/100)+B12</f>
        <v>7.968</v>
      </c>
      <c r="C13" s="42">
        <f>((G5*G6)/100)+C12</f>
        <v>7.468</v>
      </c>
    </row>
    <row r="14" spans="1:3" ht="12.75">
      <c r="A14" t="s">
        <v>138</v>
      </c>
      <c r="B14" s="51">
        <f>B13*'Production and Price Assumption'!I25</f>
        <v>717.12</v>
      </c>
      <c r="C14" s="52">
        <f>'Production and Price Assumption'!I26*'Detailed Stocker Assumptions'!C13</f>
        <v>634.78</v>
      </c>
    </row>
    <row r="16" ht="12.75">
      <c r="A16" s="1" t="s">
        <v>4</v>
      </c>
    </row>
    <row r="17" spans="1:10" ht="12.75">
      <c r="A17" t="s">
        <v>5</v>
      </c>
      <c r="I17" s="3" t="s">
        <v>15</v>
      </c>
      <c r="J17" s="4"/>
    </row>
    <row r="18" spans="3:10" ht="12.75">
      <c r="C18" s="5" t="s">
        <v>18</v>
      </c>
      <c r="D18" s="5"/>
      <c r="E18" s="5" t="s">
        <v>13</v>
      </c>
      <c r="F18" s="5" t="s">
        <v>81</v>
      </c>
      <c r="G18" s="5" t="s">
        <v>19</v>
      </c>
      <c r="H18" s="5" t="s">
        <v>14</v>
      </c>
      <c r="I18" s="5" t="s">
        <v>86</v>
      </c>
      <c r="J18" s="5" t="s">
        <v>16</v>
      </c>
    </row>
    <row r="19" spans="3:10" ht="12.75">
      <c r="C19" t="s">
        <v>6</v>
      </c>
      <c r="E19" t="s">
        <v>17</v>
      </c>
      <c r="F19" s="15"/>
      <c r="G19">
        <f aca="true" t="shared" si="0" ref="G19:G24">($B$6+$B$7)*F19</f>
        <v>0</v>
      </c>
      <c r="H19" s="46">
        <f>'Production and Price Assumption'!I10</f>
        <v>80</v>
      </c>
      <c r="I19" s="6">
        <f>F19*H19</f>
        <v>0</v>
      </c>
      <c r="J19" s="6">
        <f>($B$6+$B$7)*I19</f>
        <v>0</v>
      </c>
    </row>
    <row r="20" spans="3:10" ht="12.75">
      <c r="C20" t="s">
        <v>7</v>
      </c>
      <c r="E20" t="s">
        <v>17</v>
      </c>
      <c r="F20" s="22">
        <v>0</v>
      </c>
      <c r="G20">
        <f t="shared" si="0"/>
        <v>0</v>
      </c>
      <c r="H20" s="46">
        <f>'Production and Price Assumption'!I11</f>
        <v>75</v>
      </c>
      <c r="I20" s="6">
        <f aca="true" t="shared" si="1" ref="I20:I27">F20*H20</f>
        <v>0</v>
      </c>
      <c r="J20" s="6">
        <f>($B$6+$B$7)*I20</f>
        <v>0</v>
      </c>
    </row>
    <row r="21" spans="3:10" ht="12.75">
      <c r="C21" t="s">
        <v>8</v>
      </c>
      <c r="E21" t="s">
        <v>17</v>
      </c>
      <c r="F21" s="15"/>
      <c r="G21">
        <f t="shared" si="0"/>
        <v>0</v>
      </c>
      <c r="H21" s="45">
        <f>'Production and Price Assumption'!I12</f>
        <v>0</v>
      </c>
      <c r="I21" s="6">
        <f t="shared" si="1"/>
        <v>0</v>
      </c>
      <c r="J21" s="6">
        <f aca="true" t="shared" si="2" ref="J21:J27">($B$6+$B$7)*I21</f>
        <v>0</v>
      </c>
    </row>
    <row r="22" spans="3:10" ht="12.75">
      <c r="C22" t="s">
        <v>9</v>
      </c>
      <c r="E22" t="s">
        <v>17</v>
      </c>
      <c r="F22" s="15"/>
      <c r="G22">
        <f t="shared" si="0"/>
        <v>0</v>
      </c>
      <c r="H22" s="45">
        <f>'Production and Price Assumption'!I13</f>
        <v>0</v>
      </c>
      <c r="I22" s="6">
        <f t="shared" si="1"/>
        <v>0</v>
      </c>
      <c r="J22" s="6">
        <f t="shared" si="2"/>
        <v>0</v>
      </c>
    </row>
    <row r="23" spans="3:10" ht="12.75">
      <c r="C23" t="s">
        <v>10</v>
      </c>
      <c r="E23" t="s">
        <v>17</v>
      </c>
      <c r="F23" s="15"/>
      <c r="G23">
        <f t="shared" si="0"/>
        <v>0</v>
      </c>
      <c r="H23" s="46">
        <f>'Production and Price Assumption'!I14</f>
        <v>243</v>
      </c>
      <c r="I23" s="6">
        <f>11693.46/485</f>
        <v>24.11022680412371</v>
      </c>
      <c r="J23" s="6">
        <f t="shared" si="2"/>
        <v>4822.045360824742</v>
      </c>
    </row>
    <row r="24" spans="3:10" ht="12.75">
      <c r="C24" t="s">
        <v>11</v>
      </c>
      <c r="E24" t="s">
        <v>17</v>
      </c>
      <c r="F24" s="15">
        <v>0.011</v>
      </c>
      <c r="G24">
        <f t="shared" si="0"/>
        <v>2.1999999999999997</v>
      </c>
      <c r="H24" s="46">
        <f>'Production and Price Assumption'!I15</f>
        <v>450</v>
      </c>
      <c r="I24" s="6">
        <f t="shared" si="1"/>
        <v>4.949999999999999</v>
      </c>
      <c r="J24" s="6">
        <f t="shared" si="2"/>
        <v>989.9999999999999</v>
      </c>
    </row>
    <row r="25" spans="3:10" ht="12.75">
      <c r="C25" t="s">
        <v>87</v>
      </c>
      <c r="E25" t="s">
        <v>57</v>
      </c>
      <c r="F25" s="15">
        <f>G5</f>
        <v>123</v>
      </c>
      <c r="G25">
        <f>F25*(B6+B7)</f>
        <v>24600</v>
      </c>
      <c r="H25" s="56">
        <f>('Production and Price Assumption'!I8/30)</f>
        <v>0.6</v>
      </c>
      <c r="I25" s="6">
        <f t="shared" si="1"/>
        <v>73.8</v>
      </c>
      <c r="J25" s="6">
        <f t="shared" si="2"/>
        <v>14760</v>
      </c>
    </row>
    <row r="26" spans="3:10" ht="12.75">
      <c r="C26" t="s">
        <v>88</v>
      </c>
      <c r="E26" t="s">
        <v>89</v>
      </c>
      <c r="F26" s="15">
        <v>0</v>
      </c>
      <c r="G26" s="25">
        <f>F26*(B6+B7)</f>
        <v>0</v>
      </c>
      <c r="H26" s="46">
        <f>'Production and Price Assumption'!I9</f>
        <v>10</v>
      </c>
      <c r="I26" s="6">
        <f t="shared" si="1"/>
        <v>0</v>
      </c>
      <c r="J26" s="6">
        <f t="shared" si="2"/>
        <v>0</v>
      </c>
    </row>
    <row r="27" spans="3:10" ht="13.5" thickBot="1">
      <c r="C27" s="8" t="s">
        <v>12</v>
      </c>
      <c r="D27" s="8"/>
      <c r="E27" s="8"/>
      <c r="F27" s="16"/>
      <c r="G27" s="8">
        <f>($B$6+$B$7)*F27</f>
        <v>0</v>
      </c>
      <c r="H27" s="47">
        <v>0</v>
      </c>
      <c r="I27" s="8">
        <f t="shared" si="1"/>
        <v>0</v>
      </c>
      <c r="J27" s="40">
        <f t="shared" si="2"/>
        <v>0</v>
      </c>
    </row>
    <row r="28" spans="3:10" ht="13.5" thickTop="1">
      <c r="C28" s="7" t="s">
        <v>20</v>
      </c>
      <c r="I28" s="6">
        <f>SUM(I19:I27)</f>
        <v>102.8602268041237</v>
      </c>
      <c r="J28" s="6">
        <f>SUM(J19:J27)</f>
        <v>20572.04536082474</v>
      </c>
    </row>
    <row r="30" ht="12.75">
      <c r="A30" t="s">
        <v>83</v>
      </c>
    </row>
    <row r="31" spans="9:10" ht="12.75">
      <c r="I31" s="3" t="s">
        <v>15</v>
      </c>
      <c r="J31" s="4"/>
    </row>
    <row r="32" spans="3:10" ht="12.75">
      <c r="C32" s="5" t="s">
        <v>18</v>
      </c>
      <c r="D32" s="5"/>
      <c r="E32" s="5" t="s">
        <v>13</v>
      </c>
      <c r="F32" s="5" t="s">
        <v>81</v>
      </c>
      <c r="G32" s="5" t="s">
        <v>19</v>
      </c>
      <c r="H32" s="5" t="s">
        <v>14</v>
      </c>
      <c r="I32" s="5" t="s">
        <v>55</v>
      </c>
      <c r="J32" s="5" t="s">
        <v>16</v>
      </c>
    </row>
    <row r="33" spans="3:10" ht="12.75">
      <c r="C33" t="s">
        <v>84</v>
      </c>
      <c r="E33" t="s">
        <v>22</v>
      </c>
      <c r="F33" s="15">
        <v>1</v>
      </c>
      <c r="G33" s="15">
        <f>F33*($B$6+$B$7)</f>
        <v>200</v>
      </c>
      <c r="H33" s="18">
        <v>12</v>
      </c>
      <c r="I33" s="10">
        <f>F33*H33</f>
        <v>12</v>
      </c>
      <c r="J33" s="10">
        <f>I33*($B$6+$B$7)</f>
        <v>2400</v>
      </c>
    </row>
    <row r="34" spans="3:10" ht="12.75">
      <c r="C34" t="s">
        <v>23</v>
      </c>
      <c r="F34" s="15"/>
      <c r="G34" s="15">
        <f>F34*($B$6+$B$7)</f>
        <v>0</v>
      </c>
      <c r="H34" s="18">
        <v>9</v>
      </c>
      <c r="I34" s="10">
        <f>F34*H34</f>
        <v>0</v>
      </c>
      <c r="J34" s="10">
        <f>I34*($B$6+$B$7)</f>
        <v>0</v>
      </c>
    </row>
    <row r="35" spans="3:10" ht="12.75">
      <c r="C35" t="s">
        <v>21</v>
      </c>
      <c r="F35" s="15"/>
      <c r="G35" s="15">
        <f>F35*($B$6+$B$7)</f>
        <v>0</v>
      </c>
      <c r="H35" s="18">
        <v>0.75</v>
      </c>
      <c r="I35" s="10">
        <f>F35*H35</f>
        <v>0</v>
      </c>
      <c r="J35" s="10">
        <f>I35*($B$6+$B$7)</f>
        <v>0</v>
      </c>
    </row>
    <row r="36" spans="3:10" ht="13.5" thickBot="1">
      <c r="C36" s="8" t="s">
        <v>90</v>
      </c>
      <c r="D36" s="8"/>
      <c r="E36" s="8"/>
      <c r="F36" s="120">
        <v>1</v>
      </c>
      <c r="G36" s="120">
        <f>F36*($B$6+$B$7)</f>
        <v>200</v>
      </c>
      <c r="H36" s="138">
        <v>16.31</v>
      </c>
      <c r="I36" s="11">
        <f>F36*H36</f>
        <v>16.31</v>
      </c>
      <c r="J36" s="11">
        <f>I36*($B$6+$B$7)</f>
        <v>3261.9999999999995</v>
      </c>
    </row>
    <row r="37" spans="3:10" ht="13.5" thickTop="1">
      <c r="C37" s="7" t="s">
        <v>85</v>
      </c>
      <c r="I37" s="12">
        <f>SUM(I33:I36)</f>
        <v>28.31</v>
      </c>
      <c r="J37" s="12">
        <f>SUM(J33:J36)</f>
        <v>5662</v>
      </c>
    </row>
    <row r="39" ht="12.75">
      <c r="A39" t="s">
        <v>24</v>
      </c>
    </row>
    <row r="40" spans="9:10" ht="12.75">
      <c r="I40" s="3" t="s">
        <v>15</v>
      </c>
      <c r="J40" s="4"/>
    </row>
    <row r="41" spans="3:10" ht="12.75">
      <c r="C41" s="5" t="s">
        <v>18</v>
      </c>
      <c r="D41" s="5"/>
      <c r="E41" s="5" t="s">
        <v>13</v>
      </c>
      <c r="F41" s="5" t="s">
        <v>81</v>
      </c>
      <c r="G41" s="5" t="s">
        <v>19</v>
      </c>
      <c r="H41" s="5" t="s">
        <v>14</v>
      </c>
      <c r="I41" s="5" t="s">
        <v>55</v>
      </c>
      <c r="J41" s="5" t="s">
        <v>16</v>
      </c>
    </row>
    <row r="42" spans="3:10" ht="12.75">
      <c r="C42" t="s">
        <v>25</v>
      </c>
      <c r="E42" t="s">
        <v>22</v>
      </c>
      <c r="F42" s="15"/>
      <c r="G42" s="15">
        <f>F42*($B$6+$B$7)</f>
        <v>0</v>
      </c>
      <c r="H42" s="18">
        <v>3.24</v>
      </c>
      <c r="I42" s="10">
        <f>F42*H42</f>
        <v>0</v>
      </c>
      <c r="J42" s="10">
        <f>G42*H42</f>
        <v>0</v>
      </c>
    </row>
    <row r="43" spans="3:10" ht="12.75">
      <c r="C43" t="s">
        <v>26</v>
      </c>
      <c r="E43" t="s">
        <v>22</v>
      </c>
      <c r="F43" s="15"/>
      <c r="G43" s="15">
        <f>F43*($B$6+$B$7)</f>
        <v>0</v>
      </c>
      <c r="H43" s="18">
        <v>1</v>
      </c>
      <c r="I43" s="10">
        <f>F43*H43</f>
        <v>0</v>
      </c>
      <c r="J43" s="10">
        <f>G43*H43</f>
        <v>0</v>
      </c>
    </row>
    <row r="44" spans="3:10" ht="12.75">
      <c r="C44" t="s">
        <v>27</v>
      </c>
      <c r="E44" t="s">
        <v>22</v>
      </c>
      <c r="F44" s="15"/>
      <c r="G44" s="15">
        <f>F44*($B$6+$B$7)</f>
        <v>0</v>
      </c>
      <c r="H44" s="18">
        <v>3.2</v>
      </c>
      <c r="I44" s="10">
        <f>F44*H44</f>
        <v>0</v>
      </c>
      <c r="J44" s="10">
        <f>G44*H44</f>
        <v>0</v>
      </c>
    </row>
    <row r="45" spans="3:10" ht="13.5" thickBot="1">
      <c r="C45" s="8" t="s">
        <v>28</v>
      </c>
      <c r="D45" s="8"/>
      <c r="E45" s="8" t="s">
        <v>22</v>
      </c>
      <c r="F45" s="120"/>
      <c r="G45" s="120">
        <f>F45*($B$6+$B$7)</f>
        <v>0</v>
      </c>
      <c r="H45" s="138">
        <v>1.5</v>
      </c>
      <c r="I45" s="11">
        <f>F45*H45</f>
        <v>0</v>
      </c>
      <c r="J45" s="11">
        <f>G45*H45</f>
        <v>0</v>
      </c>
    </row>
    <row r="46" spans="3:10" ht="13.5" thickTop="1">
      <c r="C46" s="7" t="s">
        <v>35</v>
      </c>
      <c r="I46" s="12">
        <f>SUM(I42:I45)</f>
        <v>0</v>
      </c>
      <c r="J46" s="12">
        <f>SUM(J42:J45)</f>
        <v>0</v>
      </c>
    </row>
    <row r="48" ht="12.75">
      <c r="A48" t="s">
        <v>36</v>
      </c>
    </row>
    <row r="49" spans="9:10" ht="12.75">
      <c r="I49" s="3" t="s">
        <v>15</v>
      </c>
      <c r="J49" s="4"/>
    </row>
    <row r="50" spans="3:10" ht="12.75">
      <c r="C50" s="5" t="s">
        <v>18</v>
      </c>
      <c r="D50" s="5"/>
      <c r="E50" s="5" t="s">
        <v>13</v>
      </c>
      <c r="F50" s="5" t="s">
        <v>40</v>
      </c>
      <c r="G50" s="5" t="s">
        <v>19</v>
      </c>
      <c r="H50" s="5" t="s">
        <v>14</v>
      </c>
      <c r="I50" s="5" t="s">
        <v>55</v>
      </c>
      <c r="J50" s="5" t="s">
        <v>16</v>
      </c>
    </row>
    <row r="51" spans="3:10" ht="12.75">
      <c r="C51" t="s">
        <v>29</v>
      </c>
      <c r="E51" t="s">
        <v>37</v>
      </c>
      <c r="F51" s="15"/>
      <c r="G51" s="15"/>
      <c r="H51" s="139">
        <v>2.2</v>
      </c>
      <c r="I51" s="10">
        <f aca="true" t="shared" si="3" ref="I51:I56">(G51*H51)/($B$6+$B$7)</f>
        <v>0</v>
      </c>
      <c r="J51" s="14">
        <f aca="true" t="shared" si="4" ref="J51:J56">I51*G51</f>
        <v>0</v>
      </c>
    </row>
    <row r="52" spans="3:10" ht="12.75">
      <c r="C52" t="s">
        <v>30</v>
      </c>
      <c r="E52" t="s">
        <v>38</v>
      </c>
      <c r="F52" s="121">
        <v>1</v>
      </c>
      <c r="G52" s="15">
        <f>F52*($B$6+$B$7)</f>
        <v>200</v>
      </c>
      <c r="H52" s="139">
        <f>(B14+C14)*0.002</f>
        <v>2.7038</v>
      </c>
      <c r="I52" s="10">
        <f t="shared" si="3"/>
        <v>2.7037999999999998</v>
      </c>
      <c r="J52" s="14">
        <f t="shared" si="4"/>
        <v>540.76</v>
      </c>
    </row>
    <row r="53" spans="3:10" ht="12.75">
      <c r="C53" t="s">
        <v>31</v>
      </c>
      <c r="E53" t="s">
        <v>39</v>
      </c>
      <c r="F53" s="15">
        <v>1</v>
      </c>
      <c r="G53" s="15">
        <f>F53*($B$6+$B$7)</f>
        <v>200</v>
      </c>
      <c r="H53" s="139">
        <v>1.35</v>
      </c>
      <c r="I53" s="10">
        <f t="shared" si="3"/>
        <v>1.35</v>
      </c>
      <c r="J53" s="14">
        <f t="shared" si="4"/>
        <v>270</v>
      </c>
    </row>
    <row r="54" spans="3:10" ht="12.75">
      <c r="C54" t="s">
        <v>32</v>
      </c>
      <c r="E54" t="s">
        <v>39</v>
      </c>
      <c r="F54" s="15">
        <v>1</v>
      </c>
      <c r="G54" s="15">
        <f>F54*($B$6+$B$7)</f>
        <v>200</v>
      </c>
      <c r="H54" s="139">
        <v>0.25</v>
      </c>
      <c r="I54" s="10">
        <f t="shared" si="3"/>
        <v>0.25</v>
      </c>
      <c r="J54" s="14">
        <f t="shared" si="4"/>
        <v>50</v>
      </c>
    </row>
    <row r="55" spans="3:10" ht="12.75">
      <c r="C55" t="s">
        <v>33</v>
      </c>
      <c r="F55" s="15"/>
      <c r="G55" s="15"/>
      <c r="H55" s="15">
        <v>0</v>
      </c>
      <c r="I55" s="10">
        <f t="shared" si="3"/>
        <v>0</v>
      </c>
      <c r="J55" s="14">
        <f t="shared" si="4"/>
        <v>0</v>
      </c>
    </row>
    <row r="56" spans="3:10" ht="13.5" thickBot="1">
      <c r="C56" s="8" t="s">
        <v>34</v>
      </c>
      <c r="D56" s="8"/>
      <c r="E56" s="8"/>
      <c r="F56" s="120"/>
      <c r="G56" s="120"/>
      <c r="H56" s="120">
        <v>0</v>
      </c>
      <c r="I56" s="11">
        <f t="shared" si="3"/>
        <v>0</v>
      </c>
      <c r="J56" s="57">
        <f t="shared" si="4"/>
        <v>0</v>
      </c>
    </row>
    <row r="57" spans="3:10" ht="13.5" thickTop="1">
      <c r="C57" s="7" t="s">
        <v>45</v>
      </c>
      <c r="I57" s="10">
        <f>SUM(I51:I56)</f>
        <v>4.3038</v>
      </c>
      <c r="J57" s="10">
        <f>SUM(J51:J56)</f>
        <v>860.76</v>
      </c>
    </row>
    <row r="59" ht="12.75">
      <c r="A59" t="s">
        <v>46</v>
      </c>
    </row>
    <row r="60" spans="9:10" ht="12.75">
      <c r="I60" s="3" t="s">
        <v>15</v>
      </c>
      <c r="J60" s="4"/>
    </row>
    <row r="61" spans="3:10" ht="12.75">
      <c r="C61" s="5" t="s">
        <v>18</v>
      </c>
      <c r="D61" s="5"/>
      <c r="E61" s="5" t="s">
        <v>13</v>
      </c>
      <c r="F61" s="5" t="s">
        <v>81</v>
      </c>
      <c r="G61" s="5" t="s">
        <v>19</v>
      </c>
      <c r="H61" s="5" t="s">
        <v>14</v>
      </c>
      <c r="I61" s="5" t="s">
        <v>55</v>
      </c>
      <c r="J61" s="5" t="s">
        <v>16</v>
      </c>
    </row>
    <row r="62" spans="3:10" ht="12.75">
      <c r="C62" t="s">
        <v>47</v>
      </c>
      <c r="E62" t="s">
        <v>176</v>
      </c>
      <c r="F62" s="15">
        <v>0.6</v>
      </c>
      <c r="G62" s="15">
        <f>(B6+B7)*F62</f>
        <v>120</v>
      </c>
      <c r="H62" s="17">
        <f>'Production and Price Assumption'!I18</f>
        <v>10</v>
      </c>
      <c r="I62" s="49">
        <f>F62*H62</f>
        <v>6</v>
      </c>
      <c r="J62" s="52">
        <f>I62*($B$6+$B$7)</f>
        <v>1200</v>
      </c>
    </row>
    <row r="63" spans="3:9" ht="12.75">
      <c r="C63" t="s">
        <v>48</v>
      </c>
      <c r="F63" s="15"/>
      <c r="G63" s="15">
        <f>F63*($B$6+$B$7)</f>
        <v>0</v>
      </c>
      <c r="H63" s="15"/>
      <c r="I63">
        <f>F63*H63</f>
        <v>0</v>
      </c>
    </row>
    <row r="64" spans="3:9" ht="12.75">
      <c r="C64" t="s">
        <v>49</v>
      </c>
      <c r="F64" s="15"/>
      <c r="G64" s="15">
        <f>F64*($B$6+$B$7)</f>
        <v>0</v>
      </c>
      <c r="H64" s="15"/>
      <c r="I64">
        <f>F64*H64</f>
        <v>0</v>
      </c>
    </row>
    <row r="65" spans="3:9" ht="12.75">
      <c r="C65" t="s">
        <v>50</v>
      </c>
      <c r="F65" s="15"/>
      <c r="G65" s="15">
        <f>F65*($B$6+$B$7)</f>
        <v>0</v>
      </c>
      <c r="H65" s="15"/>
      <c r="I65">
        <f>F65*H65</f>
        <v>0</v>
      </c>
    </row>
    <row r="66" spans="3:10" ht="13.5" thickBot="1">
      <c r="C66" s="8" t="s">
        <v>51</v>
      </c>
      <c r="D66" s="8"/>
      <c r="E66" s="8"/>
      <c r="F66" s="120"/>
      <c r="G66" s="120">
        <f>F66*($B$6+$B$7)</f>
        <v>0</v>
      </c>
      <c r="H66" s="120"/>
      <c r="I66" s="8">
        <f>F66*H66</f>
        <v>0</v>
      </c>
      <c r="J66" s="8"/>
    </row>
    <row r="67" spans="3:10" ht="13.5" thickTop="1">
      <c r="C67" s="7" t="s">
        <v>52</v>
      </c>
      <c r="I67">
        <f>SUM(I62:I66)</f>
        <v>6</v>
      </c>
      <c r="J67" s="52">
        <f>SUM(J62:J66)</f>
        <v>1200</v>
      </c>
    </row>
    <row r="69" spans="1:10" ht="12.75">
      <c r="A69" t="s">
        <v>141</v>
      </c>
      <c r="I69" s="3" t="s">
        <v>15</v>
      </c>
      <c r="J69" s="4"/>
    </row>
    <row r="70" spans="3:10" ht="12.75">
      <c r="C70" s="5" t="s">
        <v>18</v>
      </c>
      <c r="D70" s="5"/>
      <c r="E70" s="5" t="s">
        <v>13</v>
      </c>
      <c r="F70" s="5" t="s">
        <v>81</v>
      </c>
      <c r="G70" s="5" t="s">
        <v>19</v>
      </c>
      <c r="H70" s="5" t="s">
        <v>14</v>
      </c>
      <c r="I70" s="5" t="s">
        <v>55</v>
      </c>
      <c r="J70" s="5" t="s">
        <v>16</v>
      </c>
    </row>
    <row r="71" spans="3:10" ht="12.75">
      <c r="C71" t="s">
        <v>142</v>
      </c>
      <c r="E71" t="s">
        <v>146</v>
      </c>
      <c r="F71" s="15">
        <v>1</v>
      </c>
      <c r="G71" s="15">
        <f>($B$6+$B$7)*F71</f>
        <v>200</v>
      </c>
      <c r="H71" s="139">
        <v>1</v>
      </c>
      <c r="I71" s="53">
        <f>F71*H71</f>
        <v>1</v>
      </c>
      <c r="J71" s="52">
        <f>I71*($B$6+$B$7)</f>
        <v>200</v>
      </c>
    </row>
    <row r="72" spans="3:10" ht="12.75">
      <c r="C72" t="s">
        <v>143</v>
      </c>
      <c r="E72" t="s">
        <v>146</v>
      </c>
      <c r="F72" s="15">
        <v>1</v>
      </c>
      <c r="G72" s="15">
        <f>($B$6+$B$7)*F72</f>
        <v>200</v>
      </c>
      <c r="H72" s="139">
        <v>4.5</v>
      </c>
      <c r="I72" s="53">
        <f>F72*H72</f>
        <v>4.5</v>
      </c>
      <c r="J72" s="52">
        <f>I72*($B$6+$B$7)</f>
        <v>900</v>
      </c>
    </row>
    <row r="73" spans="3:10" ht="12.75">
      <c r="C73" t="s">
        <v>144</v>
      </c>
      <c r="E73" t="s">
        <v>146</v>
      </c>
      <c r="F73" s="15">
        <v>1</v>
      </c>
      <c r="G73" s="15">
        <f>($B$6+$B$7)*F73</f>
        <v>200</v>
      </c>
      <c r="H73" s="139">
        <v>5.5</v>
      </c>
      <c r="I73" s="53">
        <f>F73*H73</f>
        <v>5.5</v>
      </c>
      <c r="J73" s="52">
        <f>I73*($B$6+$B$7)</f>
        <v>1100</v>
      </c>
    </row>
    <row r="74" spans="3:10" ht="13.5" thickBot="1">
      <c r="C74" s="8" t="s">
        <v>145</v>
      </c>
      <c r="D74" s="8"/>
      <c r="E74" s="8" t="s">
        <v>146</v>
      </c>
      <c r="F74" s="120">
        <v>1</v>
      </c>
      <c r="G74" s="120">
        <f>($B$6+$B$7)*F74</f>
        <v>200</v>
      </c>
      <c r="H74" s="140">
        <v>6</v>
      </c>
      <c r="I74" s="54">
        <f>F74*H74</f>
        <v>6</v>
      </c>
      <c r="J74" s="55">
        <f>I74*($B$6+$B$7)</f>
        <v>1200</v>
      </c>
    </row>
    <row r="75" spans="3:10" ht="13.5" thickTop="1">
      <c r="C75" s="7" t="s">
        <v>147</v>
      </c>
      <c r="J75" s="53">
        <f>SUM(J71:J74)</f>
        <v>3400</v>
      </c>
    </row>
    <row r="79" ht="12.75">
      <c r="J79" s="2" t="s">
        <v>111</v>
      </c>
    </row>
    <row r="80" spans="3:10" ht="12.75">
      <c r="C80" t="s">
        <v>139</v>
      </c>
      <c r="J80" s="53">
        <f>(J67+J57+J46+J37+J28+J75)</f>
        <v>31694.805360824743</v>
      </c>
    </row>
    <row r="81" spans="3:10" ht="13.5" thickBot="1">
      <c r="C81" s="8" t="s">
        <v>140</v>
      </c>
      <c r="D81" s="8"/>
      <c r="E81" s="8"/>
      <c r="F81" s="8"/>
      <c r="G81" s="8"/>
      <c r="H81" s="8"/>
      <c r="I81" s="8"/>
      <c r="J81" s="54">
        <f>J80*'Production and Price Assumption'!I19*'Production and Price Assumption'!C11/365</f>
        <v>961.2643708063832</v>
      </c>
    </row>
    <row r="82" ht="13.5" thickTop="1"/>
    <row r="84" spans="1:9" ht="12.75">
      <c r="A84" s="1" t="s">
        <v>157</v>
      </c>
      <c r="D84" s="104" t="s">
        <v>158</v>
      </c>
      <c r="E84" s="104" t="s">
        <v>159</v>
      </c>
      <c r="F84" s="104" t="s">
        <v>160</v>
      </c>
      <c r="G84" s="104"/>
      <c r="H84" s="104" t="s">
        <v>128</v>
      </c>
      <c r="I84" s="105" t="s">
        <v>161</v>
      </c>
    </row>
    <row r="85" spans="1:9" ht="12.75">
      <c r="A85" s="1"/>
      <c r="C85" t="s">
        <v>168</v>
      </c>
      <c r="D85" s="106" t="s">
        <v>162</v>
      </c>
      <c r="E85" s="107" t="s">
        <v>163</v>
      </c>
      <c r="F85" s="107" t="s">
        <v>164</v>
      </c>
      <c r="G85" s="107"/>
      <c r="H85" s="107" t="s">
        <v>164</v>
      </c>
      <c r="I85" s="108" t="s">
        <v>165</v>
      </c>
    </row>
    <row r="86" spans="1:9" ht="12.75">
      <c r="A86" s="24" t="s">
        <v>166</v>
      </c>
      <c r="C86" s="17">
        <v>20</v>
      </c>
      <c r="D86" s="122">
        <v>20</v>
      </c>
      <c r="E86" s="123">
        <v>0.35</v>
      </c>
      <c r="F86" s="124">
        <v>0.08</v>
      </c>
      <c r="G86" s="125"/>
      <c r="H86" s="126">
        <v>0.0025</v>
      </c>
      <c r="I86" s="126">
        <v>0.015</v>
      </c>
    </row>
    <row r="87" spans="1:9" ht="12.75">
      <c r="A87" s="24" t="s">
        <v>167</v>
      </c>
      <c r="C87" s="17">
        <v>10</v>
      </c>
      <c r="D87" s="122">
        <v>10</v>
      </c>
      <c r="E87" s="123">
        <v>0.35</v>
      </c>
      <c r="F87" s="124">
        <v>0.08</v>
      </c>
      <c r="G87" s="125"/>
      <c r="H87" s="126">
        <v>0.0025</v>
      </c>
      <c r="I87" s="126">
        <v>0.015</v>
      </c>
    </row>
    <row r="88" ht="12.75">
      <c r="A88" s="1"/>
    </row>
    <row r="89" ht="12.75">
      <c r="A89" s="1"/>
    </row>
    <row r="90" spans="1:9" ht="12.75">
      <c r="A90" s="100"/>
      <c r="B90" s="101"/>
      <c r="C90" s="102"/>
      <c r="D90" s="103"/>
      <c r="I90" s="2" t="s">
        <v>15</v>
      </c>
    </row>
    <row r="91" spans="1:10" ht="12.75">
      <c r="A91" s="100"/>
      <c r="B91" s="101"/>
      <c r="C91" s="111" t="s">
        <v>18</v>
      </c>
      <c r="D91" s="112"/>
      <c r="E91" s="4" t="s">
        <v>13</v>
      </c>
      <c r="F91" s="4" t="s">
        <v>81</v>
      </c>
      <c r="G91" s="4" t="s">
        <v>19</v>
      </c>
      <c r="H91" s="4" t="s">
        <v>14</v>
      </c>
      <c r="I91" s="4" t="s">
        <v>171</v>
      </c>
      <c r="J91" s="4" t="s">
        <v>16</v>
      </c>
    </row>
    <row r="92" spans="1:10" ht="12.75">
      <c r="A92" s="100"/>
      <c r="B92" s="101"/>
      <c r="C92" s="109" t="s">
        <v>126</v>
      </c>
      <c r="D92" s="104"/>
      <c r="E92" t="s">
        <v>146</v>
      </c>
      <c r="F92" s="15">
        <v>1</v>
      </c>
      <c r="I92" s="52">
        <f>(C86*(1-E86))/D86+(C87*(1-E87))/D87</f>
        <v>1.3</v>
      </c>
      <c r="J92" s="53">
        <f>I92*$B$8</f>
        <v>260</v>
      </c>
    </row>
    <row r="93" spans="1:10" ht="12.75">
      <c r="A93" s="100"/>
      <c r="B93" s="101"/>
      <c r="C93" s="109" t="s">
        <v>127</v>
      </c>
      <c r="D93" s="106"/>
      <c r="E93" t="s">
        <v>146</v>
      </c>
      <c r="F93" s="15">
        <v>1</v>
      </c>
      <c r="I93" s="52">
        <f>(C86*I86)+(C87*I87)</f>
        <v>0.44999999999999996</v>
      </c>
      <c r="J93" s="53">
        <f>I93*$B$8</f>
        <v>89.99999999999999</v>
      </c>
    </row>
    <row r="94" spans="1:10" ht="12.75">
      <c r="A94" s="109"/>
      <c r="B94" s="101"/>
      <c r="C94" s="109" t="s">
        <v>128</v>
      </c>
      <c r="D94" s="109"/>
      <c r="E94" s="109" t="s">
        <v>146</v>
      </c>
      <c r="F94" s="127">
        <v>1</v>
      </c>
      <c r="G94" s="109"/>
      <c r="H94" s="109"/>
      <c r="I94" s="116">
        <f>(C86*H86)+(C87*H87)</f>
        <v>0.07500000000000001</v>
      </c>
      <c r="J94" s="53">
        <f>I94*$B$8</f>
        <v>15.000000000000002</v>
      </c>
    </row>
    <row r="95" spans="1:10" ht="13.5" thickBot="1">
      <c r="A95" s="110"/>
      <c r="B95" s="110"/>
      <c r="C95" s="113" t="s">
        <v>169</v>
      </c>
      <c r="D95" s="113"/>
      <c r="E95" s="113" t="s">
        <v>146</v>
      </c>
      <c r="F95" s="128"/>
      <c r="G95" s="114"/>
      <c r="H95" s="115"/>
      <c r="I95" s="117">
        <f>J95/B8</f>
        <v>1.5847402680412372</v>
      </c>
      <c r="J95" s="117">
        <f>J80*0.01</f>
        <v>316.94805360824745</v>
      </c>
    </row>
    <row r="96" spans="1:10" ht="13.5" thickTop="1">
      <c r="A96" s="25"/>
      <c r="B96" s="25"/>
      <c r="C96" s="25" t="s">
        <v>170</v>
      </c>
      <c r="D96" s="25"/>
      <c r="E96" s="25"/>
      <c r="F96" s="25"/>
      <c r="G96" s="25"/>
      <c r="H96" s="25"/>
      <c r="I96" s="25"/>
      <c r="J96" s="25"/>
    </row>
  </sheetData>
  <printOptions/>
  <pageMargins left="0.75" right="0.75" top="1" bottom="1" header="0.5" footer="0.5"/>
  <pageSetup horizontalDpi="600" verticalDpi="600" orientation="portrait" scale="77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tabSelected="1" zoomScale="75" zoomScaleNormal="75" workbookViewId="0" topLeftCell="A1">
      <selection activeCell="F33" sqref="F33"/>
    </sheetView>
  </sheetViews>
  <sheetFormatPr defaultColWidth="9.140625" defaultRowHeight="12.75"/>
  <cols>
    <col min="1" max="1" width="2.8515625" style="0" customWidth="1"/>
    <col min="2" max="2" width="23.7109375" style="0" customWidth="1"/>
    <col min="3" max="3" width="14.8515625" style="0" customWidth="1"/>
    <col min="5" max="5" width="11.8515625" style="0" customWidth="1"/>
    <col min="6" max="6" width="13.57421875" style="0" customWidth="1"/>
    <col min="7" max="7" width="11.28125" style="0" customWidth="1"/>
  </cols>
  <sheetData>
    <row r="1" spans="2:10" ht="13.5" thickBot="1">
      <c r="B1" s="129" t="s">
        <v>95</v>
      </c>
      <c r="C1" s="130"/>
      <c r="D1" s="130"/>
      <c r="E1" s="130"/>
      <c r="F1" s="130"/>
      <c r="G1" s="130"/>
      <c r="H1" s="130"/>
      <c r="I1" s="130"/>
      <c r="J1" s="131"/>
    </row>
    <row r="2" spans="2:10" ht="13.5" thickTop="1">
      <c r="B2" s="65"/>
      <c r="C2" s="25"/>
      <c r="D2" s="25"/>
      <c r="E2" s="25"/>
      <c r="F2" s="25"/>
      <c r="G2" s="25"/>
      <c r="H2" s="25"/>
      <c r="I2" s="25"/>
      <c r="J2" s="66"/>
    </row>
    <row r="3" spans="2:10" ht="12.75">
      <c r="B3" s="67" t="s">
        <v>96</v>
      </c>
      <c r="C3" s="25" t="s">
        <v>155</v>
      </c>
      <c r="D3" s="25"/>
      <c r="E3" s="68"/>
      <c r="F3" s="25"/>
      <c r="G3" s="25"/>
      <c r="H3" s="25"/>
      <c r="I3" s="25"/>
      <c r="J3" s="66"/>
    </row>
    <row r="4" spans="2:10" ht="12.75">
      <c r="B4" s="67" t="s">
        <v>97</v>
      </c>
      <c r="C4" s="25"/>
      <c r="D4" s="25"/>
      <c r="E4" s="25"/>
      <c r="F4" s="25"/>
      <c r="G4" s="25"/>
      <c r="H4" s="25"/>
      <c r="I4" s="25"/>
      <c r="J4" s="66"/>
    </row>
    <row r="5" spans="2:10" ht="12.75">
      <c r="B5" s="67" t="s">
        <v>98</v>
      </c>
      <c r="C5" s="25">
        <f>'Production and Price Assumption'!C10</f>
        <v>1.6</v>
      </c>
      <c r="D5" s="25"/>
      <c r="E5" s="25"/>
      <c r="F5" s="25"/>
      <c r="G5" s="25"/>
      <c r="H5" s="25"/>
      <c r="I5" s="25"/>
      <c r="J5" s="66"/>
    </row>
    <row r="6" spans="2:10" ht="12.75">
      <c r="B6" s="67" t="s">
        <v>99</v>
      </c>
      <c r="C6" s="25">
        <f>'Production and Price Assumption'!C8+'Production and Price Assumption'!C9</f>
        <v>200</v>
      </c>
      <c r="D6" s="25"/>
      <c r="E6" s="25"/>
      <c r="F6" s="25"/>
      <c r="G6" s="25"/>
      <c r="H6" s="25"/>
      <c r="I6" s="25"/>
      <c r="J6" s="66"/>
    </row>
    <row r="7" spans="2:10" ht="13.5" thickBot="1">
      <c r="B7" s="69" t="s">
        <v>100</v>
      </c>
      <c r="C7" s="8">
        <v>2004</v>
      </c>
      <c r="D7" s="8"/>
      <c r="E7" s="8"/>
      <c r="F7" s="8"/>
      <c r="G7" s="8"/>
      <c r="H7" s="8"/>
      <c r="I7" s="8"/>
      <c r="J7" s="70"/>
    </row>
    <row r="8" spans="2:10" ht="13.5" thickTop="1">
      <c r="B8" s="71"/>
      <c r="C8" s="25"/>
      <c r="D8" s="25"/>
      <c r="E8" s="25"/>
      <c r="F8" s="25"/>
      <c r="G8" s="25"/>
      <c r="H8" s="25"/>
      <c r="I8" s="25"/>
      <c r="J8" s="66"/>
    </row>
    <row r="9" spans="2:10" ht="38.25">
      <c r="B9" s="72" t="s">
        <v>101</v>
      </c>
      <c r="C9" s="35"/>
      <c r="D9" s="36" t="s">
        <v>102</v>
      </c>
      <c r="E9" s="37" t="s">
        <v>103</v>
      </c>
      <c r="F9" s="37" t="s">
        <v>104</v>
      </c>
      <c r="G9" s="37" t="s">
        <v>105</v>
      </c>
      <c r="H9" s="37"/>
      <c r="I9" s="4"/>
      <c r="J9" s="73"/>
    </row>
    <row r="10" spans="2:10" ht="12.75">
      <c r="B10" s="67" t="s">
        <v>106</v>
      </c>
      <c r="C10" s="25"/>
      <c r="D10" s="25" t="s">
        <v>42</v>
      </c>
      <c r="E10" s="74">
        <f>'Detailed Stocker Assumptions'!B13</f>
        <v>7.968</v>
      </c>
      <c r="F10" s="75">
        <v>38230</v>
      </c>
      <c r="G10" s="25">
        <f>'Production and Price Assumption'!C8*(1-'Production and Price Assumption'!$C$12)</f>
        <v>98</v>
      </c>
      <c r="H10" s="76"/>
      <c r="I10" s="25"/>
      <c r="J10" s="66"/>
    </row>
    <row r="11" spans="2:10" ht="12.75">
      <c r="B11" s="67" t="s">
        <v>60</v>
      </c>
      <c r="C11" s="25"/>
      <c r="D11" s="25" t="s">
        <v>42</v>
      </c>
      <c r="E11" s="74">
        <f>'Detailed Stocker Assumptions'!C13</f>
        <v>7.468</v>
      </c>
      <c r="F11" s="75">
        <v>38229</v>
      </c>
      <c r="G11" s="25">
        <f>'Production and Price Assumption'!C9*(1-'Production and Price Assumption'!$C$12)</f>
        <v>98</v>
      </c>
      <c r="H11" s="25"/>
      <c r="I11" s="25"/>
      <c r="J11" s="66"/>
    </row>
    <row r="12" spans="2:10" ht="13.5" thickBot="1">
      <c r="B12" s="77"/>
      <c r="C12" s="8"/>
      <c r="D12" s="8"/>
      <c r="E12" s="8"/>
      <c r="F12" s="8"/>
      <c r="G12" s="8"/>
      <c r="H12" s="8"/>
      <c r="I12" s="8"/>
      <c r="J12" s="70"/>
    </row>
    <row r="13" spans="2:10" ht="13.5" thickTop="1">
      <c r="B13" s="132" t="s">
        <v>107</v>
      </c>
      <c r="C13" s="133"/>
      <c r="D13" s="133"/>
      <c r="E13" s="133"/>
      <c r="F13" s="133"/>
      <c r="G13" s="133"/>
      <c r="H13" s="133"/>
      <c r="I13" s="133"/>
      <c r="J13" s="134"/>
    </row>
    <row r="14" spans="2:10" ht="12.75">
      <c r="B14" s="71" t="s">
        <v>108</v>
      </c>
      <c r="C14" s="25"/>
      <c r="D14" s="25"/>
      <c r="E14" s="25"/>
      <c r="F14" s="25"/>
      <c r="G14" s="25"/>
      <c r="H14" s="25"/>
      <c r="I14" s="25"/>
      <c r="J14" s="66"/>
    </row>
    <row r="15" spans="2:10" ht="12.75">
      <c r="B15" s="65"/>
      <c r="C15" s="25"/>
      <c r="D15" s="25"/>
      <c r="E15" s="25"/>
      <c r="F15" s="25"/>
      <c r="G15" s="25"/>
      <c r="H15" s="25"/>
      <c r="I15" s="25"/>
      <c r="J15" s="66"/>
    </row>
    <row r="16" spans="2:10" ht="25.5">
      <c r="B16" s="72" t="s">
        <v>18</v>
      </c>
      <c r="C16" s="36" t="s">
        <v>13</v>
      </c>
      <c r="D16" s="36" t="s">
        <v>109</v>
      </c>
      <c r="E16" s="37" t="s">
        <v>124</v>
      </c>
      <c r="F16" s="37" t="s">
        <v>110</v>
      </c>
      <c r="G16" s="36" t="s">
        <v>111</v>
      </c>
      <c r="H16" s="36"/>
      <c r="I16" s="36" t="s">
        <v>112</v>
      </c>
      <c r="J16" s="73"/>
    </row>
    <row r="17" spans="2:10" ht="12.75">
      <c r="B17" s="67" t="s">
        <v>106</v>
      </c>
      <c r="C17" s="25" t="s">
        <v>42</v>
      </c>
      <c r="D17" s="78">
        <f>'Production and Price Assumption'!I25</f>
        <v>90</v>
      </c>
      <c r="E17" s="74">
        <f>'Detailed Stocker Assumptions'!B13</f>
        <v>7.968</v>
      </c>
      <c r="F17" s="78">
        <f>D17*E17</f>
        <v>717.12</v>
      </c>
      <c r="G17" s="78">
        <f>F17*G10</f>
        <v>70277.76</v>
      </c>
      <c r="H17" s="25"/>
      <c r="I17" s="25"/>
      <c r="J17" s="66"/>
    </row>
    <row r="18" spans="2:10" ht="12.75">
      <c r="B18" s="67" t="s">
        <v>60</v>
      </c>
      <c r="C18" s="25" t="s">
        <v>42</v>
      </c>
      <c r="D18" s="78">
        <f>'Production and Price Assumption'!I26</f>
        <v>85</v>
      </c>
      <c r="E18" s="74">
        <f>'Detailed Stocker Assumptions'!C13</f>
        <v>7.468</v>
      </c>
      <c r="F18" s="78">
        <f>D18*E18</f>
        <v>634.78</v>
      </c>
      <c r="G18" s="78">
        <f>F18*G11</f>
        <v>62208.439999999995</v>
      </c>
      <c r="H18" s="25"/>
      <c r="I18" s="25"/>
      <c r="J18" s="66"/>
    </row>
    <row r="19" spans="2:10" ht="12.75">
      <c r="B19" s="67"/>
      <c r="C19" s="25"/>
      <c r="D19" s="78"/>
      <c r="E19" s="25"/>
      <c r="F19" s="25"/>
      <c r="G19" s="25"/>
      <c r="H19" s="25"/>
      <c r="I19" s="25"/>
      <c r="J19" s="66"/>
    </row>
    <row r="20" spans="2:10" ht="12" customHeight="1">
      <c r="B20" s="67" t="s">
        <v>148</v>
      </c>
      <c r="C20" s="25"/>
      <c r="D20" s="78"/>
      <c r="E20" s="25"/>
      <c r="F20" s="79"/>
      <c r="G20" s="25"/>
      <c r="H20" s="25"/>
      <c r="I20" s="25"/>
      <c r="J20" s="66"/>
    </row>
    <row r="21" spans="2:10" ht="12" customHeight="1">
      <c r="B21" s="67" t="s">
        <v>150</v>
      </c>
      <c r="C21" s="25" t="s">
        <v>42</v>
      </c>
      <c r="D21" s="78">
        <f>'Production and Price Assumption'!I23</f>
        <v>100</v>
      </c>
      <c r="E21" s="74">
        <f>'Production and Price Assumption'!C15</f>
        <v>6</v>
      </c>
      <c r="F21" s="79">
        <f>D21*E21</f>
        <v>600</v>
      </c>
      <c r="G21" s="79">
        <f>F21*'Production and Price Assumption'!C8</f>
        <v>60000</v>
      </c>
      <c r="H21" s="25"/>
      <c r="I21" s="25"/>
      <c r="J21" s="66"/>
    </row>
    <row r="22" spans="2:10" ht="12" customHeight="1">
      <c r="B22" s="67" t="s">
        <v>151</v>
      </c>
      <c r="C22" s="25" t="s">
        <v>42</v>
      </c>
      <c r="D22" s="78">
        <f>'Production and Price Assumption'!I24</f>
        <v>96</v>
      </c>
      <c r="E22" s="74">
        <f>'Production and Price Assumption'!C16</f>
        <v>5.5</v>
      </c>
      <c r="F22" s="79">
        <f>D22*E22</f>
        <v>528</v>
      </c>
      <c r="G22" s="79">
        <f>F22*'Production and Price Assumption'!C9</f>
        <v>52800</v>
      </c>
      <c r="H22" s="25"/>
      <c r="I22" s="25"/>
      <c r="J22" s="66"/>
    </row>
    <row r="23" spans="2:10" ht="12.75">
      <c r="B23" s="67"/>
      <c r="C23" s="25"/>
      <c r="D23" s="78"/>
      <c r="E23" s="25"/>
      <c r="F23" s="25"/>
      <c r="G23" s="25"/>
      <c r="H23" s="25"/>
      <c r="I23" s="25"/>
      <c r="J23" s="66"/>
    </row>
    <row r="24" spans="2:10" ht="13.5" thickBot="1">
      <c r="B24" s="80" t="s">
        <v>149</v>
      </c>
      <c r="C24" s="63"/>
      <c r="D24" s="63"/>
      <c r="E24" s="63"/>
      <c r="F24" s="64">
        <f>G24/C6</f>
        <v>98.43099999999991</v>
      </c>
      <c r="G24" s="64">
        <f>G17+G18-G21-G22</f>
        <v>19686.199999999983</v>
      </c>
      <c r="H24" s="63"/>
      <c r="I24" s="63"/>
      <c r="J24" s="81"/>
    </row>
    <row r="25" spans="2:10" ht="13.5" thickTop="1">
      <c r="B25" s="135" t="s">
        <v>113</v>
      </c>
      <c r="C25" s="136"/>
      <c r="D25" s="136"/>
      <c r="E25" s="136"/>
      <c r="F25" s="136"/>
      <c r="G25" s="136"/>
      <c r="H25" s="136"/>
      <c r="I25" s="136"/>
      <c r="J25" s="137"/>
    </row>
    <row r="26" spans="2:10" ht="12.75">
      <c r="B26" s="67" t="s">
        <v>114</v>
      </c>
      <c r="C26" s="25"/>
      <c r="D26" s="25"/>
      <c r="E26" s="25"/>
      <c r="F26" s="25"/>
      <c r="G26" s="25"/>
      <c r="H26" s="25"/>
      <c r="I26" s="25"/>
      <c r="J26" s="66"/>
    </row>
    <row r="27" spans="2:10" ht="12.75">
      <c r="B27" s="65"/>
      <c r="C27" s="25"/>
      <c r="D27" s="25"/>
      <c r="E27" s="25"/>
      <c r="F27" s="25"/>
      <c r="G27" s="25"/>
      <c r="H27" s="25"/>
      <c r="I27" s="25"/>
      <c r="J27" s="66"/>
    </row>
    <row r="28" spans="2:10" ht="25.5">
      <c r="B28" s="72" t="s">
        <v>18</v>
      </c>
      <c r="C28" s="36" t="s">
        <v>13</v>
      </c>
      <c r="D28" s="36"/>
      <c r="E28" s="37"/>
      <c r="F28" s="37" t="s">
        <v>110</v>
      </c>
      <c r="G28" s="36" t="s">
        <v>111</v>
      </c>
      <c r="H28" s="36"/>
      <c r="I28" s="36" t="s">
        <v>112</v>
      </c>
      <c r="J28" s="73"/>
    </row>
    <row r="29" spans="2:10" ht="12.75">
      <c r="B29" s="82"/>
      <c r="C29" s="38"/>
      <c r="D29" s="38"/>
      <c r="E29" s="39"/>
      <c r="F29" s="39"/>
      <c r="G29" s="38"/>
      <c r="H29" s="38"/>
      <c r="I29" s="38"/>
      <c r="J29" s="66"/>
    </row>
    <row r="30" spans="2:10" ht="12.75">
      <c r="B30" s="83" t="s">
        <v>94</v>
      </c>
      <c r="C30" s="84" t="s">
        <v>177</v>
      </c>
      <c r="D30" s="85"/>
      <c r="E30" s="84"/>
      <c r="F30" s="85">
        <f>'Detailed Stocker Assumptions'!H25*'Detailed Stocker Assumptions'!G5</f>
        <v>73.8</v>
      </c>
      <c r="G30" s="85">
        <f>F30*$C6</f>
        <v>14760</v>
      </c>
      <c r="H30" s="84"/>
      <c r="I30" s="84"/>
      <c r="J30" s="66"/>
    </row>
    <row r="31" spans="2:10" ht="12.75">
      <c r="B31" s="83" t="s">
        <v>115</v>
      </c>
      <c r="C31" s="84" t="s">
        <v>136</v>
      </c>
      <c r="D31" s="85"/>
      <c r="E31" s="84"/>
      <c r="F31" s="85">
        <f>'Detailed Stocker Assumptions'!H33</f>
        <v>12</v>
      </c>
      <c r="G31" s="85">
        <f>F31*$C6</f>
        <v>2400</v>
      </c>
      <c r="H31" s="84"/>
      <c r="I31" s="84"/>
      <c r="J31" s="66"/>
    </row>
    <row r="32" spans="2:10" ht="12.75">
      <c r="B32" s="83" t="s">
        <v>10</v>
      </c>
      <c r="C32" s="84" t="s">
        <v>17</v>
      </c>
      <c r="D32" s="86"/>
      <c r="E32" s="84"/>
      <c r="F32" s="85">
        <f>'Detailed Stocker Assumptions'!F23*'Detailed Stocker Assumptions'!H23</f>
        <v>0</v>
      </c>
      <c r="G32" s="85">
        <f>F32*$C6</f>
        <v>0</v>
      </c>
      <c r="H32" s="84"/>
      <c r="I32" s="84"/>
      <c r="J32" s="66"/>
    </row>
    <row r="33" spans="2:10" ht="12.75">
      <c r="B33" s="83" t="s">
        <v>152</v>
      </c>
      <c r="C33" s="84" t="s">
        <v>17</v>
      </c>
      <c r="D33" s="87"/>
      <c r="E33" s="25"/>
      <c r="F33" s="85">
        <f>'Detailed Stocker Assumptions'!H24*'Detailed Stocker Assumptions'!F24</f>
        <v>4.949999999999999</v>
      </c>
      <c r="G33" s="85">
        <f>F33*$C7</f>
        <v>9919.8</v>
      </c>
      <c r="H33" s="25"/>
      <c r="I33" s="25"/>
      <c r="J33" s="66"/>
    </row>
    <row r="34" spans="2:10" ht="12.75">
      <c r="B34" s="88" t="s">
        <v>116</v>
      </c>
      <c r="C34" s="58"/>
      <c r="D34" s="58"/>
      <c r="E34" s="58"/>
      <c r="F34" s="59">
        <f>SUM(F30:F33)</f>
        <v>90.75</v>
      </c>
      <c r="G34" s="60">
        <f>SUM(G30:G33)</f>
        <v>27079.8</v>
      </c>
      <c r="H34" s="58"/>
      <c r="I34" s="58"/>
      <c r="J34" s="89"/>
    </row>
    <row r="35" spans="2:10" ht="12.75">
      <c r="B35" s="67"/>
      <c r="C35" s="25"/>
      <c r="D35" s="25"/>
      <c r="E35" s="25"/>
      <c r="F35" s="25"/>
      <c r="G35" s="25"/>
      <c r="H35" s="25"/>
      <c r="I35" s="25"/>
      <c r="J35" s="66"/>
    </row>
    <row r="36" spans="2:10" ht="12.75">
      <c r="B36" s="67"/>
      <c r="C36" s="25"/>
      <c r="D36" s="25"/>
      <c r="E36" s="25"/>
      <c r="F36" s="25"/>
      <c r="G36" s="25"/>
      <c r="H36" s="25"/>
      <c r="I36" s="25"/>
      <c r="J36" s="66"/>
    </row>
    <row r="37" spans="2:10" ht="26.25" thickBot="1">
      <c r="B37" s="90" t="s">
        <v>117</v>
      </c>
      <c r="C37" s="25"/>
      <c r="D37" s="25"/>
      <c r="E37" s="25"/>
      <c r="F37" s="37" t="s">
        <v>110</v>
      </c>
      <c r="G37" s="36" t="s">
        <v>111</v>
      </c>
      <c r="H37" s="25"/>
      <c r="I37" s="36" t="s">
        <v>112</v>
      </c>
      <c r="J37" s="66"/>
    </row>
    <row r="38" spans="2:10" ht="12.75">
      <c r="B38" s="67" t="s">
        <v>46</v>
      </c>
      <c r="C38" s="25"/>
      <c r="D38" s="25"/>
      <c r="E38" s="25"/>
      <c r="F38" s="86">
        <f>'Detailed Stocker Assumptions'!I62</f>
        <v>6</v>
      </c>
      <c r="G38" s="86">
        <f>'Detailed Stocker Assumptions'!J62</f>
        <v>1200</v>
      </c>
      <c r="H38" s="25"/>
      <c r="I38" s="25"/>
      <c r="J38" s="66"/>
    </row>
    <row r="39" spans="2:10" ht="12.75">
      <c r="B39" s="67" t="s">
        <v>118</v>
      </c>
      <c r="C39" s="25"/>
      <c r="D39" s="25"/>
      <c r="E39" s="25"/>
      <c r="F39" s="91">
        <f>'Detailed Stocker Assumptions'!I73</f>
        <v>5.5</v>
      </c>
      <c r="G39" s="91">
        <f>'Detailed Stocker Assumptions'!J73</f>
        <v>1100</v>
      </c>
      <c r="H39" s="25"/>
      <c r="I39" s="25"/>
      <c r="J39" s="66"/>
    </row>
    <row r="40" spans="2:10" ht="12.75">
      <c r="B40" s="67" t="s">
        <v>119</v>
      </c>
      <c r="C40" s="25"/>
      <c r="D40" s="25"/>
      <c r="E40" s="25"/>
      <c r="F40" s="92">
        <f>'Detailed Stocker Assumptions'!I46</f>
        <v>0</v>
      </c>
      <c r="G40" s="92">
        <f>'Detailed Stocker Assumptions'!J46</f>
        <v>0</v>
      </c>
      <c r="H40" s="25"/>
      <c r="I40" s="25"/>
      <c r="J40" s="66"/>
    </row>
    <row r="41" spans="2:10" ht="12.75">
      <c r="B41" s="67" t="s">
        <v>153</v>
      </c>
      <c r="C41" s="25"/>
      <c r="D41" s="25"/>
      <c r="E41" s="25"/>
      <c r="F41" s="91">
        <f>'Detailed Stocker Assumptions'!I72</f>
        <v>4.5</v>
      </c>
      <c r="G41" s="91">
        <f>'Detailed Stocker Assumptions'!J72</f>
        <v>900</v>
      </c>
      <c r="H41" s="25"/>
      <c r="I41" s="25"/>
      <c r="J41" s="66"/>
    </row>
    <row r="42" spans="2:10" ht="12.75">
      <c r="B42" s="67" t="s">
        <v>120</v>
      </c>
      <c r="C42" s="25"/>
      <c r="D42" s="25"/>
      <c r="E42" s="25"/>
      <c r="F42" s="91">
        <f>'Detailed Stocker Assumptions'!I74</f>
        <v>6</v>
      </c>
      <c r="G42" s="91">
        <f>'Detailed Stocker Assumptions'!J74</f>
        <v>1200</v>
      </c>
      <c r="H42" s="25"/>
      <c r="I42" s="25"/>
      <c r="J42" s="66"/>
    </row>
    <row r="43" spans="2:10" ht="12.75">
      <c r="B43" s="67" t="s">
        <v>121</v>
      </c>
      <c r="C43" s="25"/>
      <c r="D43" s="25"/>
      <c r="E43" s="25"/>
      <c r="F43" s="92">
        <f>'Detailed Stocker Assumptions'!I57</f>
        <v>4.3038</v>
      </c>
      <c r="G43" s="92">
        <f>'Detailed Stocker Assumptions'!J57</f>
        <v>860.76</v>
      </c>
      <c r="H43" s="25"/>
      <c r="I43" s="25"/>
      <c r="J43" s="66"/>
    </row>
    <row r="44" spans="2:10" ht="12.75">
      <c r="B44" s="67" t="s">
        <v>122</v>
      </c>
      <c r="C44" s="25"/>
      <c r="D44" s="25"/>
      <c r="E44" s="25"/>
      <c r="F44" s="91">
        <f>'Detailed Stocker Assumptions'!J81/'Budget Format'!C6</f>
        <v>4.806321854031916</v>
      </c>
      <c r="G44" s="91">
        <f>'Detailed Stocker Assumptions'!J81</f>
        <v>961.2643708063832</v>
      </c>
      <c r="H44" s="25"/>
      <c r="I44" s="25"/>
      <c r="J44" s="66"/>
    </row>
    <row r="45" spans="2:10" ht="12.75">
      <c r="B45" s="65"/>
      <c r="C45" s="25"/>
      <c r="D45" s="25"/>
      <c r="E45" s="25"/>
      <c r="F45" s="25"/>
      <c r="G45" s="25"/>
      <c r="H45" s="25"/>
      <c r="I45" s="25"/>
      <c r="J45" s="66"/>
    </row>
    <row r="46" spans="2:10" ht="12.75">
      <c r="B46" s="88" t="s">
        <v>123</v>
      </c>
      <c r="C46" s="58"/>
      <c r="D46" s="58"/>
      <c r="E46" s="58"/>
      <c r="F46" s="61">
        <f>SUM(F38:F44)</f>
        <v>31.110121854031917</v>
      </c>
      <c r="G46" s="119">
        <f>SUM(G38:G44)</f>
        <v>6222.024370806384</v>
      </c>
      <c r="H46" s="58"/>
      <c r="I46" s="58"/>
      <c r="J46" s="89"/>
    </row>
    <row r="47" spans="2:10" ht="12.75">
      <c r="B47" s="67"/>
      <c r="C47" s="25"/>
      <c r="D47" s="25"/>
      <c r="E47" s="25"/>
      <c r="F47" s="25"/>
      <c r="G47" s="25"/>
      <c r="H47" s="25"/>
      <c r="I47" s="25"/>
      <c r="J47" s="66"/>
    </row>
    <row r="48" spans="2:10" ht="12.75">
      <c r="B48" s="93" t="s">
        <v>156</v>
      </c>
      <c r="C48" s="58"/>
      <c r="D48" s="58"/>
      <c r="E48" s="58"/>
      <c r="F48" s="62">
        <f>F46+F34</f>
        <v>121.86012185403192</v>
      </c>
      <c r="G48" s="59">
        <f>G46+G34</f>
        <v>33301.82437080638</v>
      </c>
      <c r="H48" s="58"/>
      <c r="I48" s="58"/>
      <c r="J48" s="89"/>
    </row>
    <row r="49" spans="2:10" ht="12.75">
      <c r="B49" s="67"/>
      <c r="C49" s="25"/>
      <c r="D49" s="25"/>
      <c r="E49" s="25"/>
      <c r="F49" s="25"/>
      <c r="G49" s="25"/>
      <c r="H49" s="25"/>
      <c r="I49" s="25"/>
      <c r="J49" s="66"/>
    </row>
    <row r="50" spans="2:10" ht="12.75">
      <c r="B50" s="67"/>
      <c r="C50" s="25"/>
      <c r="D50" s="25"/>
      <c r="E50" s="25"/>
      <c r="F50" s="25"/>
      <c r="G50" s="25"/>
      <c r="H50" s="25"/>
      <c r="I50" s="25"/>
      <c r="J50" s="66"/>
    </row>
    <row r="51" spans="2:10" ht="12.75">
      <c r="B51" s="71"/>
      <c r="C51" s="7"/>
      <c r="D51" s="7"/>
      <c r="E51" s="7"/>
      <c r="F51" s="7"/>
      <c r="G51" s="7"/>
      <c r="H51" s="7"/>
      <c r="I51" s="7"/>
      <c r="J51" s="94"/>
    </row>
    <row r="52" spans="2:10" ht="12.75">
      <c r="B52" s="67" t="s">
        <v>125</v>
      </c>
      <c r="C52" s="25"/>
      <c r="D52" s="25"/>
      <c r="E52" s="25"/>
      <c r="F52" s="25"/>
      <c r="G52" s="25"/>
      <c r="H52" s="25"/>
      <c r="I52" s="25"/>
      <c r="J52" s="66"/>
    </row>
    <row r="53" spans="2:10" ht="25.5">
      <c r="B53" s="65"/>
      <c r="C53" s="38"/>
      <c r="D53" s="38"/>
      <c r="E53" s="38"/>
      <c r="F53" s="37" t="s">
        <v>110</v>
      </c>
      <c r="G53" s="36" t="s">
        <v>111</v>
      </c>
      <c r="H53" s="36"/>
      <c r="I53" s="36" t="s">
        <v>112</v>
      </c>
      <c r="J53" s="73"/>
    </row>
    <row r="54" spans="2:10" ht="12.75">
      <c r="B54" s="67" t="s">
        <v>126</v>
      </c>
      <c r="C54" s="25"/>
      <c r="D54" s="25"/>
      <c r="E54" s="25"/>
      <c r="F54" s="91">
        <f>'Detailed Stocker Assumptions'!I92</f>
        <v>1.3</v>
      </c>
      <c r="G54" s="92">
        <f>F54*$C$6</f>
        <v>260</v>
      </c>
      <c r="H54" s="25"/>
      <c r="I54" s="25"/>
      <c r="J54" s="66"/>
    </row>
    <row r="55" spans="2:10" ht="12.75">
      <c r="B55" s="67" t="s">
        <v>127</v>
      </c>
      <c r="C55" s="25"/>
      <c r="D55" s="25"/>
      <c r="E55" s="25"/>
      <c r="F55" s="91">
        <f>'Detailed Stocker Assumptions'!I93</f>
        <v>0.44999999999999996</v>
      </c>
      <c r="G55" s="92">
        <f>F55*$C$6</f>
        <v>89.99999999999999</v>
      </c>
      <c r="H55" s="25"/>
      <c r="I55" s="25"/>
      <c r="J55" s="66"/>
    </row>
    <row r="56" spans="2:10" ht="12.75">
      <c r="B56" s="67" t="s">
        <v>128</v>
      </c>
      <c r="C56" s="25"/>
      <c r="D56" s="25"/>
      <c r="E56" s="25"/>
      <c r="F56" s="91">
        <f>'Detailed Stocker Assumptions'!I94</f>
        <v>0.07500000000000001</v>
      </c>
      <c r="G56" s="92">
        <f>F56*$C$6</f>
        <v>15.000000000000002</v>
      </c>
      <c r="H56" s="25"/>
      <c r="I56" s="25"/>
      <c r="J56" s="66"/>
    </row>
    <row r="57" spans="2:10" ht="25.5">
      <c r="B57" s="95" t="s">
        <v>154</v>
      </c>
      <c r="C57" s="25"/>
      <c r="D57" s="25"/>
      <c r="E57" s="25"/>
      <c r="F57" s="91">
        <f>'Detailed Stocker Assumptions'!I95</f>
        <v>1.5847402680412372</v>
      </c>
      <c r="G57" s="92">
        <f>F57*$C$6</f>
        <v>316.94805360824745</v>
      </c>
      <c r="H57" s="25"/>
      <c r="I57" s="25"/>
      <c r="J57" s="66"/>
    </row>
    <row r="58" spans="2:10" ht="12.75">
      <c r="B58" s="67" t="s">
        <v>129</v>
      </c>
      <c r="C58" s="25"/>
      <c r="D58" s="25"/>
      <c r="E58" s="25"/>
      <c r="F58" s="25">
        <f>D58*E58</f>
        <v>0</v>
      </c>
      <c r="G58" s="25">
        <f>F58*C10</f>
        <v>0</v>
      </c>
      <c r="H58" s="25"/>
      <c r="I58" s="25"/>
      <c r="J58" s="66"/>
    </row>
    <row r="59" spans="2:10" ht="12.75">
      <c r="B59" s="65"/>
      <c r="C59" s="25"/>
      <c r="D59" s="25"/>
      <c r="E59" s="25"/>
      <c r="F59" s="25"/>
      <c r="G59" s="25"/>
      <c r="H59" s="25"/>
      <c r="I59" s="25"/>
      <c r="J59" s="66"/>
    </row>
    <row r="60" spans="2:10" ht="12.75">
      <c r="B60" s="88" t="s">
        <v>130</v>
      </c>
      <c r="C60" s="58"/>
      <c r="D60" s="58"/>
      <c r="E60" s="58"/>
      <c r="F60" s="60">
        <f>SUM(F54:F58)</f>
        <v>3.4097402680412374</v>
      </c>
      <c r="G60" s="60">
        <f>SUM(G54:G58)</f>
        <v>681.9480536082474</v>
      </c>
      <c r="H60" s="58"/>
      <c r="I60" s="58"/>
      <c r="J60" s="89"/>
    </row>
    <row r="61" spans="2:10" ht="12.75">
      <c r="B61" s="65"/>
      <c r="C61" s="25"/>
      <c r="D61" s="25"/>
      <c r="E61" s="25"/>
      <c r="F61" s="25"/>
      <c r="G61" s="25"/>
      <c r="H61" s="25"/>
      <c r="I61" s="25"/>
      <c r="J61" s="66"/>
    </row>
    <row r="62" spans="2:10" ht="12.75">
      <c r="B62" s="93" t="s">
        <v>172</v>
      </c>
      <c r="C62" s="58"/>
      <c r="D62" s="58"/>
      <c r="E62" s="58"/>
      <c r="F62" s="118">
        <f>F21+F22+F34+F46+F60</f>
        <v>1253.2698621220732</v>
      </c>
      <c r="G62" s="118">
        <f>G21+G22+G34+G46+G60</f>
        <v>146783.7724244146</v>
      </c>
      <c r="H62" s="58"/>
      <c r="I62" s="58"/>
      <c r="J62" s="89"/>
    </row>
    <row r="63" spans="2:10" ht="12.75">
      <c r="B63" s="65"/>
      <c r="C63" s="25"/>
      <c r="D63" s="25"/>
      <c r="E63" s="25"/>
      <c r="F63" s="25"/>
      <c r="G63" s="25"/>
      <c r="H63" s="25"/>
      <c r="I63" s="25"/>
      <c r="J63" s="66"/>
    </row>
    <row r="64" spans="2:10" ht="13.5" thickBot="1">
      <c r="B64" s="96" t="s">
        <v>173</v>
      </c>
      <c r="C64" s="97"/>
      <c r="D64" s="97"/>
      <c r="E64" s="97"/>
      <c r="F64" s="98">
        <f>G64/C6</f>
        <v>-71.48786212207312</v>
      </c>
      <c r="G64" s="98">
        <f>G17+G18-G62</f>
        <v>-14297.572424414626</v>
      </c>
      <c r="H64" s="97"/>
      <c r="I64" s="97"/>
      <c r="J64" s="99"/>
    </row>
    <row r="66" spans="6:7" ht="12.75">
      <c r="F66" s="10"/>
      <c r="G66" s="10"/>
    </row>
  </sheetData>
  <mergeCells count="3">
    <mergeCell ref="B1:J1"/>
    <mergeCell ref="B13:J13"/>
    <mergeCell ref="B25:J2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 Department</dc:creator>
  <cp:keywords/>
  <dc:description/>
  <cp:lastModifiedBy>James Pritchett</cp:lastModifiedBy>
  <cp:lastPrinted>2004-04-25T23:26:20Z</cp:lastPrinted>
  <dcterms:created xsi:type="dcterms:W3CDTF">2003-04-06T21:47:09Z</dcterms:created>
  <dcterms:modified xsi:type="dcterms:W3CDTF">2004-08-10T18:43:29Z</dcterms:modified>
  <cp:category/>
  <cp:version/>
  <cp:contentType/>
  <cp:contentStatus/>
</cp:coreProperties>
</file>