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rkoontz\Dropbox\Futures &amp; Options\"/>
    </mc:Choice>
  </mc:AlternateContent>
  <xr:revisionPtr revIDLastSave="0" documentId="13_ncr:1_{759AB9DD-F9A0-4443-818A-503993E8052D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Instructions" sheetId="9" r:id="rId1"/>
    <sheet name="Option Values" sheetId="13" r:id="rId2"/>
    <sheet name="Work Put-Call" sheetId="8" r:id="rId3"/>
    <sheet name="Graph Put-Call Data" sheetId="10" r:id="rId4"/>
    <sheet name="Graph Put" sheetId="11" r:id="rId5"/>
    <sheet name="Graph Call" sheetId="12" r:id="rId6"/>
    <sheet name="Work Floor" sheetId="6" r:id="rId7"/>
    <sheet name="Work Fence" sheetId="7" r:id="rId8"/>
    <sheet name="Graphs Data" sheetId="1" r:id="rId9"/>
    <sheet name="Graph Floor" sheetId="4" r:id="rId10"/>
    <sheet name="Graph Fence" sheetId="5" r:id="rId11"/>
    <sheet name="BlackScholes" sheetId="14" r:id="rId12"/>
  </sheets>
  <definedNames>
    <definedName name="_xlnm.Print_Area" localSheetId="7">'Work Fence'!$A$1:$J$22</definedName>
    <definedName name="_xlnm.Print_Area" localSheetId="6">'Work Floor'!$A$1:$I$27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4" l="1"/>
  <c r="I22" i="14"/>
  <c r="M11" i="14"/>
  <c r="L16" i="13"/>
  <c r="B15" i="7"/>
  <c r="B22" i="6"/>
  <c r="B13" i="6"/>
  <c r="D30" i="14" l="1"/>
  <c r="E30" i="14" s="1"/>
  <c r="F30" i="14" s="1"/>
  <c r="G30" i="14" s="1"/>
  <c r="M32" i="13" l="1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18" i="13"/>
  <c r="L18" i="13"/>
  <c r="M17" i="13"/>
  <c r="L17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16" i="13"/>
  <c r="D4" i="14" l="1"/>
  <c r="D8" i="14" s="1"/>
  <c r="E4" i="14"/>
  <c r="E8" i="14" s="1"/>
  <c r="F4" i="14"/>
  <c r="F8" i="14" s="1"/>
  <c r="G4" i="14"/>
  <c r="G8" i="14" s="1"/>
  <c r="I4" i="14"/>
  <c r="I8" i="14" s="1"/>
  <c r="I18" i="14" s="1"/>
  <c r="J4" i="14"/>
  <c r="J8" i="14" s="1"/>
  <c r="D5" i="14"/>
  <c r="E5" i="14" s="1"/>
  <c r="F5" i="14" s="1"/>
  <c r="G5" i="14" s="1"/>
  <c r="C8" i="14"/>
  <c r="C17" i="14" s="1"/>
  <c r="L8" i="14"/>
  <c r="L17" i="14" s="1"/>
  <c r="D10" i="14"/>
  <c r="E10" i="14" s="1"/>
  <c r="F10" i="14" s="1"/>
  <c r="G10" i="14" s="1"/>
  <c r="D11" i="14"/>
  <c r="E11" i="14"/>
  <c r="F11" i="14" s="1"/>
  <c r="G11" i="14" s="1"/>
  <c r="I11" i="14"/>
  <c r="J11" i="14"/>
  <c r="D12" i="14"/>
  <c r="E12" i="14" s="1"/>
  <c r="F12" i="14" s="1"/>
  <c r="G12" i="14" s="1"/>
  <c r="D22" i="14"/>
  <c r="D26" i="14" s="1"/>
  <c r="E22" i="14"/>
  <c r="E26" i="14" s="1"/>
  <c r="F22" i="14"/>
  <c r="F26" i="14" s="1"/>
  <c r="G22" i="14"/>
  <c r="G26" i="14" s="1"/>
  <c r="I26" i="14"/>
  <c r="I35" i="14" s="1"/>
  <c r="J22" i="14"/>
  <c r="J26" i="14" s="1"/>
  <c r="D23" i="14"/>
  <c r="E23" i="14" s="1"/>
  <c r="F23" i="14" s="1"/>
  <c r="G23" i="14" s="1"/>
  <c r="C36" i="14"/>
  <c r="D28" i="14"/>
  <c r="E28" i="14" s="1"/>
  <c r="F28" i="14" s="1"/>
  <c r="G28" i="14" s="1"/>
  <c r="C29" i="14"/>
  <c r="D29" i="14"/>
  <c r="E29" i="14"/>
  <c r="F29" i="14"/>
  <c r="G29" i="14"/>
  <c r="I29" i="14"/>
  <c r="J29" i="14"/>
  <c r="C35" i="14"/>
  <c r="K3" i="1"/>
  <c r="L3" i="1"/>
  <c r="K4" i="1"/>
  <c r="L4" i="1"/>
  <c r="F8" i="1"/>
  <c r="F9" i="1"/>
  <c r="F10" i="1"/>
  <c r="F11" i="1"/>
  <c r="F12" i="1"/>
  <c r="F13" i="1"/>
  <c r="F14" i="1"/>
  <c r="F15" i="1"/>
  <c r="B16" i="1"/>
  <c r="B15" i="1" s="1"/>
  <c r="F16" i="1"/>
  <c r="F17" i="1"/>
  <c r="F18" i="1"/>
  <c r="F19" i="1"/>
  <c r="F20" i="1"/>
  <c r="F21" i="1"/>
  <c r="F22" i="1"/>
  <c r="F23" i="1"/>
  <c r="F24" i="1"/>
  <c r="D4" i="7"/>
  <c r="H9" i="7" s="1"/>
  <c r="H4" i="7"/>
  <c r="H8" i="7" s="1"/>
  <c r="J4" i="7"/>
  <c r="J8" i="7" s="1"/>
  <c r="M4" i="7"/>
  <c r="I4" i="7" s="1"/>
  <c r="H5" i="7"/>
  <c r="I5" i="7"/>
  <c r="J5" i="7"/>
  <c r="B7" i="7"/>
  <c r="I10" i="7" s="1"/>
  <c r="C7" i="7"/>
  <c r="J10" i="7" s="1"/>
  <c r="H7" i="7"/>
  <c r="I7" i="7"/>
  <c r="J7" i="7"/>
  <c r="D15" i="7"/>
  <c r="E15" i="7" s="1"/>
  <c r="H15" i="7"/>
  <c r="H19" i="7" s="1"/>
  <c r="J15" i="7"/>
  <c r="J19" i="7" s="1"/>
  <c r="H16" i="7"/>
  <c r="I16" i="7"/>
  <c r="J16" i="7"/>
  <c r="B18" i="7"/>
  <c r="I21" i="7" s="1"/>
  <c r="C18" i="7"/>
  <c r="J21" i="7" s="1"/>
  <c r="H18" i="7"/>
  <c r="I18" i="7"/>
  <c r="J18" i="7"/>
  <c r="D4" i="6"/>
  <c r="G4" i="6"/>
  <c r="I4" i="6"/>
  <c r="I8" i="6" s="1"/>
  <c r="L4" i="6"/>
  <c r="H13" i="6" s="1"/>
  <c r="H17" i="6" s="1"/>
  <c r="G5" i="6"/>
  <c r="H5" i="6"/>
  <c r="I5" i="6"/>
  <c r="G7" i="6"/>
  <c r="H7" i="6"/>
  <c r="I7" i="6"/>
  <c r="D13" i="6"/>
  <c r="G13" i="6"/>
  <c r="G17" i="6" s="1"/>
  <c r="I13" i="6"/>
  <c r="I17" i="6" s="1"/>
  <c r="G14" i="6"/>
  <c r="H14" i="6"/>
  <c r="I14" i="6"/>
  <c r="G16" i="6"/>
  <c r="H16" i="6"/>
  <c r="I16" i="6"/>
  <c r="D22" i="6"/>
  <c r="G22" i="6"/>
  <c r="I22" i="6"/>
  <c r="I26" i="6" s="1"/>
  <c r="G23" i="6"/>
  <c r="H23" i="6"/>
  <c r="I23" i="6"/>
  <c r="G25" i="6"/>
  <c r="H25" i="6"/>
  <c r="I25" i="6"/>
  <c r="E3" i="10"/>
  <c r="F3" i="10"/>
  <c r="G3" i="10"/>
  <c r="H3" i="10"/>
  <c r="F4" i="10"/>
  <c r="H4" i="10"/>
  <c r="B14" i="10"/>
  <c r="B13" i="10" s="1"/>
  <c r="K13" i="10" s="1"/>
  <c r="E4" i="8"/>
  <c r="E6" i="8" s="1"/>
  <c r="G4" i="8"/>
  <c r="G6" i="8" s="1"/>
  <c r="J4" i="8"/>
  <c r="F4" i="8" s="1"/>
  <c r="F6" i="8" s="1"/>
  <c r="E5" i="8"/>
  <c r="F5" i="8"/>
  <c r="G5" i="8"/>
  <c r="A11" i="8"/>
  <c r="E11" i="8" s="1"/>
  <c r="E13" i="8" s="1"/>
  <c r="B11" i="8"/>
  <c r="E12" i="8" s="1"/>
  <c r="E19" i="8"/>
  <c r="E21" i="8" s="1"/>
  <c r="G19" i="8"/>
  <c r="G21" i="8" s="1"/>
  <c r="E20" i="8"/>
  <c r="F20" i="8"/>
  <c r="G20" i="8"/>
  <c r="A26" i="8"/>
  <c r="B26" i="8"/>
  <c r="E27" i="8" s="1"/>
  <c r="E8" i="13"/>
  <c r="F8" i="13" s="1"/>
  <c r="I8" i="13"/>
  <c r="J8" i="13" s="1"/>
  <c r="B9" i="13"/>
  <c r="B10" i="13" s="1"/>
  <c r="E22" i="13"/>
  <c r="F22" i="13" s="1"/>
  <c r="I22" i="13"/>
  <c r="J22" i="13" s="1"/>
  <c r="B23" i="13"/>
  <c r="I23" i="13" s="1"/>
  <c r="J23" i="13" s="1"/>
  <c r="E4" i="7" l="1"/>
  <c r="F19" i="8"/>
  <c r="F21" i="8" s="1"/>
  <c r="F22" i="8" s="1"/>
  <c r="F23" i="8" s="1"/>
  <c r="F26" i="8"/>
  <c r="F28" i="8" s="1"/>
  <c r="K14" i="10"/>
  <c r="J14" i="10"/>
  <c r="I15" i="7"/>
  <c r="I17" i="7" s="1"/>
  <c r="B15" i="10"/>
  <c r="J15" i="10" s="1"/>
  <c r="J20" i="7"/>
  <c r="H20" i="7"/>
  <c r="I9" i="13"/>
  <c r="J9" i="13" s="1"/>
  <c r="J9" i="7"/>
  <c r="E7" i="8"/>
  <c r="E8" i="8" s="1"/>
  <c r="C18" i="14"/>
  <c r="C15" i="14" s="1"/>
  <c r="I6" i="7"/>
  <c r="I6" i="6"/>
  <c r="I9" i="6" s="1"/>
  <c r="I15" i="6"/>
  <c r="I18" i="6" s="1"/>
  <c r="B12" i="10"/>
  <c r="K12" i="10" s="1"/>
  <c r="J13" i="10"/>
  <c r="H13" i="10"/>
  <c r="G13" i="10"/>
  <c r="G27" i="8"/>
  <c r="E26" i="8"/>
  <c r="E28" i="8" s="1"/>
  <c r="E29" i="8" s="1"/>
  <c r="E30" i="8" s="1"/>
  <c r="E9" i="13"/>
  <c r="F9" i="13" s="1"/>
  <c r="E23" i="13"/>
  <c r="F23" i="13" s="1"/>
  <c r="H21" i="7"/>
  <c r="E18" i="7"/>
  <c r="B17" i="1"/>
  <c r="E13" i="10"/>
  <c r="I20" i="7"/>
  <c r="E7" i="7"/>
  <c r="C16" i="1"/>
  <c r="E16" i="1" s="1"/>
  <c r="L18" i="14"/>
  <c r="L14" i="14" s="1"/>
  <c r="B24" i="13"/>
  <c r="E24" i="13" s="1"/>
  <c r="F24" i="13" s="1"/>
  <c r="E22" i="8"/>
  <c r="E23" i="8" s="1"/>
  <c r="H22" i="6"/>
  <c r="H26" i="6" s="1"/>
  <c r="H4" i="6"/>
  <c r="H8" i="6" s="1"/>
  <c r="H17" i="7"/>
  <c r="J17" i="7"/>
  <c r="G12" i="8"/>
  <c r="F12" i="8"/>
  <c r="F13" i="10"/>
  <c r="G11" i="8"/>
  <c r="G13" i="8" s="1"/>
  <c r="G35" i="14"/>
  <c r="E35" i="14"/>
  <c r="D35" i="14"/>
  <c r="F36" i="14"/>
  <c r="E36" i="14"/>
  <c r="D36" i="14"/>
  <c r="E18" i="14"/>
  <c r="F17" i="14"/>
  <c r="E17" i="14"/>
  <c r="J18" i="14"/>
  <c r="J17" i="14"/>
  <c r="F35" i="14"/>
  <c r="J36" i="14"/>
  <c r="J35" i="14"/>
  <c r="I36" i="14"/>
  <c r="I33" i="14" s="1"/>
  <c r="G36" i="14"/>
  <c r="C32" i="14"/>
  <c r="C33" i="14"/>
  <c r="I17" i="14"/>
  <c r="I15" i="14" s="1"/>
  <c r="G18" i="14"/>
  <c r="G17" i="14"/>
  <c r="F18" i="14"/>
  <c r="D18" i="14"/>
  <c r="D17" i="14"/>
  <c r="I9" i="7"/>
  <c r="H6" i="7"/>
  <c r="J6" i="7"/>
  <c r="H10" i="7"/>
  <c r="I8" i="7"/>
  <c r="C15" i="1"/>
  <c r="B14" i="1"/>
  <c r="G24" i="6"/>
  <c r="I24" i="6"/>
  <c r="I27" i="6" s="1"/>
  <c r="G6" i="6"/>
  <c r="G26" i="6"/>
  <c r="G8" i="6"/>
  <c r="H15" i="6"/>
  <c r="H18" i="6" s="1"/>
  <c r="G15" i="6"/>
  <c r="G18" i="6" s="1"/>
  <c r="H14" i="10"/>
  <c r="F14" i="10"/>
  <c r="E14" i="10"/>
  <c r="G14" i="10"/>
  <c r="G22" i="8"/>
  <c r="G23" i="8" s="1"/>
  <c r="F27" i="8"/>
  <c r="G26" i="8"/>
  <c r="G28" i="8" s="1"/>
  <c r="G7" i="8"/>
  <c r="G8" i="8" s="1"/>
  <c r="E14" i="8"/>
  <c r="E15" i="8" s="1"/>
  <c r="F7" i="8"/>
  <c r="F8" i="8" s="1"/>
  <c r="F11" i="8"/>
  <c r="F13" i="8" s="1"/>
  <c r="E10" i="13"/>
  <c r="F10" i="13" s="1"/>
  <c r="B11" i="13"/>
  <c r="I10" i="13"/>
  <c r="J10" i="13" s="1"/>
  <c r="F29" i="8" l="1"/>
  <c r="F30" i="8" s="1"/>
  <c r="E15" i="10"/>
  <c r="I19" i="7"/>
  <c r="I22" i="7" s="1"/>
  <c r="G15" i="10"/>
  <c r="F15" i="10"/>
  <c r="H6" i="6"/>
  <c r="H9" i="6" s="1"/>
  <c r="B16" i="10"/>
  <c r="F16" i="10" s="1"/>
  <c r="J12" i="10"/>
  <c r="H15" i="10"/>
  <c r="K15" i="10"/>
  <c r="F14" i="8"/>
  <c r="F15" i="8" s="1"/>
  <c r="J11" i="7"/>
  <c r="G14" i="8"/>
  <c r="G15" i="8" s="1"/>
  <c r="J22" i="7"/>
  <c r="E12" i="10"/>
  <c r="H12" i="10"/>
  <c r="G12" i="10"/>
  <c r="F12" i="10"/>
  <c r="G33" i="14"/>
  <c r="L15" i="14"/>
  <c r="C14" i="14"/>
  <c r="J14" i="14"/>
  <c r="D15" i="14"/>
  <c r="I11" i="7"/>
  <c r="H22" i="7"/>
  <c r="H24" i="6"/>
  <c r="H27" i="6" s="1"/>
  <c r="B11" i="10"/>
  <c r="J11" i="10" s="1"/>
  <c r="G29" i="8"/>
  <c r="G30" i="8" s="1"/>
  <c r="G27" i="6"/>
  <c r="F32" i="14"/>
  <c r="B18" i="1"/>
  <c r="C17" i="1"/>
  <c r="K16" i="1"/>
  <c r="E32" i="14"/>
  <c r="B25" i="13"/>
  <c r="E25" i="13" s="1"/>
  <c r="F25" i="13" s="1"/>
  <c r="I24" i="13"/>
  <c r="J24" i="13" s="1"/>
  <c r="L16" i="1"/>
  <c r="J32" i="14"/>
  <c r="E33" i="14"/>
  <c r="D33" i="14"/>
  <c r="F15" i="14"/>
  <c r="E15" i="14"/>
  <c r="D32" i="14"/>
  <c r="J33" i="14"/>
  <c r="F33" i="14"/>
  <c r="E14" i="14"/>
  <c r="F14" i="14"/>
  <c r="G15" i="14"/>
  <c r="J15" i="14"/>
  <c r="I32" i="14"/>
  <c r="G32" i="14"/>
  <c r="I14" i="14"/>
  <c r="G14" i="14"/>
  <c r="D14" i="14"/>
  <c r="H11" i="7"/>
  <c r="C14" i="1"/>
  <c r="B13" i="1"/>
  <c r="H16" i="1"/>
  <c r="J16" i="1"/>
  <c r="I16" i="1"/>
  <c r="E15" i="1"/>
  <c r="L15" i="1" s="1"/>
  <c r="G9" i="6"/>
  <c r="K16" i="10"/>
  <c r="E16" i="10"/>
  <c r="J16" i="10"/>
  <c r="B17" i="10"/>
  <c r="B12" i="13"/>
  <c r="E11" i="13"/>
  <c r="F11" i="13" s="1"/>
  <c r="I11" i="13"/>
  <c r="J11" i="13" s="1"/>
  <c r="G16" i="10" l="1"/>
  <c r="H16" i="10"/>
  <c r="B26" i="13"/>
  <c r="I26" i="13" s="1"/>
  <c r="J26" i="13" s="1"/>
  <c r="I25" i="13"/>
  <c r="J25" i="13" s="1"/>
  <c r="E11" i="10"/>
  <c r="F11" i="10"/>
  <c r="K11" i="10"/>
  <c r="H11" i="10"/>
  <c r="G11" i="10"/>
  <c r="B10" i="10"/>
  <c r="H10" i="10" s="1"/>
  <c r="E17" i="1"/>
  <c r="K17" i="1" s="1"/>
  <c r="K15" i="1"/>
  <c r="C18" i="1"/>
  <c r="B19" i="1"/>
  <c r="B12" i="1"/>
  <c r="C13" i="1"/>
  <c r="E14" i="1"/>
  <c r="K14" i="1" s="1"/>
  <c r="H15" i="1"/>
  <c r="I15" i="1"/>
  <c r="J15" i="1"/>
  <c r="K17" i="10"/>
  <c r="J17" i="10"/>
  <c r="B18" i="10"/>
  <c r="E17" i="10"/>
  <c r="F17" i="10"/>
  <c r="G17" i="10"/>
  <c r="H17" i="10"/>
  <c r="E12" i="13"/>
  <c r="F12" i="13" s="1"/>
  <c r="I12" i="13"/>
  <c r="J12" i="13" s="1"/>
  <c r="B13" i="13"/>
  <c r="E26" i="13" l="1"/>
  <c r="F26" i="13" s="1"/>
  <c r="B27" i="13"/>
  <c r="I27" i="13" s="1"/>
  <c r="J27" i="13" s="1"/>
  <c r="G10" i="10"/>
  <c r="B9" i="10"/>
  <c r="K9" i="10" s="1"/>
  <c r="K10" i="10"/>
  <c r="E10" i="10"/>
  <c r="F10" i="10"/>
  <c r="J10" i="10"/>
  <c r="L14" i="1"/>
  <c r="H17" i="1"/>
  <c r="J17" i="1"/>
  <c r="I17" i="1"/>
  <c r="C19" i="1"/>
  <c r="B20" i="1"/>
  <c r="E18" i="1"/>
  <c r="L18" i="1" s="1"/>
  <c r="L17" i="1"/>
  <c r="I14" i="1"/>
  <c r="J14" i="1"/>
  <c r="H14" i="1"/>
  <c r="E13" i="1"/>
  <c r="K13" i="1" s="1"/>
  <c r="B11" i="1"/>
  <c r="C12" i="1"/>
  <c r="F18" i="10"/>
  <c r="J18" i="10"/>
  <c r="K18" i="10"/>
  <c r="B19" i="10"/>
  <c r="E18" i="10"/>
  <c r="G18" i="10"/>
  <c r="H18" i="10"/>
  <c r="I13" i="13"/>
  <c r="J13" i="13" s="1"/>
  <c r="E13" i="13"/>
  <c r="F13" i="13" s="1"/>
  <c r="B14" i="13"/>
  <c r="K18" i="1" l="1"/>
  <c r="G9" i="10"/>
  <c r="H9" i="10"/>
  <c r="E9" i="10"/>
  <c r="B8" i="10"/>
  <c r="B7" i="10" s="1"/>
  <c r="J9" i="10"/>
  <c r="B28" i="13"/>
  <c r="E28" i="13" s="1"/>
  <c r="F28" i="13" s="1"/>
  <c r="E27" i="13"/>
  <c r="F27" i="13" s="1"/>
  <c r="L13" i="1"/>
  <c r="F9" i="10"/>
  <c r="J18" i="1"/>
  <c r="I18" i="1"/>
  <c r="H18" i="1"/>
  <c r="C20" i="1"/>
  <c r="B21" i="1"/>
  <c r="E19" i="1"/>
  <c r="L19" i="1" s="1"/>
  <c r="J8" i="10"/>
  <c r="E12" i="1"/>
  <c r="L12" i="1" s="1"/>
  <c r="J13" i="1"/>
  <c r="H13" i="1"/>
  <c r="I13" i="1"/>
  <c r="C11" i="1"/>
  <c r="B10" i="1"/>
  <c r="J19" i="10"/>
  <c r="E19" i="10"/>
  <c r="F19" i="10"/>
  <c r="K19" i="10"/>
  <c r="B20" i="10"/>
  <c r="G19" i="10"/>
  <c r="H19" i="10"/>
  <c r="B29" i="13"/>
  <c r="I14" i="13"/>
  <c r="J14" i="13" s="1"/>
  <c r="E14" i="13"/>
  <c r="F14" i="13" s="1"/>
  <c r="B15" i="13"/>
  <c r="I28" i="13" l="1"/>
  <c r="J28" i="13" s="1"/>
  <c r="G8" i="10"/>
  <c r="H8" i="10"/>
  <c r="K8" i="10"/>
  <c r="F8" i="10"/>
  <c r="E8" i="10"/>
  <c r="K12" i="1"/>
  <c r="K19" i="1"/>
  <c r="C21" i="1"/>
  <c r="B22" i="1"/>
  <c r="E20" i="1"/>
  <c r="L20" i="1" s="1"/>
  <c r="H19" i="1"/>
  <c r="J19" i="1"/>
  <c r="I19" i="1"/>
  <c r="B6" i="10"/>
  <c r="K7" i="10"/>
  <c r="H7" i="10"/>
  <c r="G7" i="10"/>
  <c r="F7" i="10"/>
  <c r="E7" i="10"/>
  <c r="J7" i="10"/>
  <c r="C10" i="1"/>
  <c r="B9" i="1"/>
  <c r="E11" i="1"/>
  <c r="L11" i="1" s="1"/>
  <c r="H12" i="1"/>
  <c r="I12" i="1"/>
  <c r="J12" i="1"/>
  <c r="K20" i="10"/>
  <c r="B21" i="10"/>
  <c r="E20" i="10"/>
  <c r="J20" i="10"/>
  <c r="F20" i="10"/>
  <c r="G20" i="10"/>
  <c r="H20" i="10"/>
  <c r="I29" i="13"/>
  <c r="J29" i="13" s="1"/>
  <c r="B30" i="13"/>
  <c r="E29" i="13"/>
  <c r="F29" i="13" s="1"/>
  <c r="I15" i="13"/>
  <c r="J15" i="13" s="1"/>
  <c r="B16" i="13"/>
  <c r="E15" i="13"/>
  <c r="F15" i="13" s="1"/>
  <c r="K20" i="1" l="1"/>
  <c r="K11" i="1"/>
  <c r="B23" i="1"/>
  <c r="C22" i="1"/>
  <c r="H6" i="10"/>
  <c r="J6" i="10"/>
  <c r="K6" i="10"/>
  <c r="E6" i="10"/>
  <c r="G6" i="10"/>
  <c r="F6" i="10"/>
  <c r="E21" i="1"/>
  <c r="K21" i="1" s="1"/>
  <c r="H20" i="1"/>
  <c r="I20" i="1"/>
  <c r="J20" i="1"/>
  <c r="H11" i="1"/>
  <c r="I11" i="1"/>
  <c r="J11" i="1"/>
  <c r="C9" i="1"/>
  <c r="B8" i="1"/>
  <c r="C8" i="1" s="1"/>
  <c r="E10" i="1"/>
  <c r="K10" i="1" s="1"/>
  <c r="L10" i="1"/>
  <c r="B22" i="10"/>
  <c r="G21" i="10"/>
  <c r="H21" i="10"/>
  <c r="J21" i="10"/>
  <c r="E21" i="10"/>
  <c r="F21" i="10"/>
  <c r="K21" i="10"/>
  <c r="B31" i="13"/>
  <c r="E30" i="13"/>
  <c r="F30" i="13" s="1"/>
  <c r="I30" i="13"/>
  <c r="J30" i="13" s="1"/>
  <c r="I16" i="13"/>
  <c r="J16" i="13" s="1"/>
  <c r="B17" i="13"/>
  <c r="E16" i="13"/>
  <c r="F16" i="13" s="1"/>
  <c r="C23" i="1" l="1"/>
  <c r="B24" i="1"/>
  <c r="C24" i="1" s="1"/>
  <c r="J21" i="1"/>
  <c r="H21" i="1"/>
  <c r="I21" i="1"/>
  <c r="L21" i="1"/>
  <c r="E22" i="1"/>
  <c r="L22" i="1" s="1"/>
  <c r="E8" i="1"/>
  <c r="K8" i="1" s="1"/>
  <c r="H10" i="1"/>
  <c r="I10" i="1"/>
  <c r="J10" i="1"/>
  <c r="E9" i="1"/>
  <c r="L9" i="1" s="1"/>
  <c r="K9" i="1"/>
  <c r="J22" i="10"/>
  <c r="K22" i="10"/>
  <c r="H22" i="10"/>
  <c r="E22" i="10"/>
  <c r="G22" i="10"/>
  <c r="F22" i="10"/>
  <c r="E31" i="13"/>
  <c r="F31" i="13" s="1"/>
  <c r="I31" i="13"/>
  <c r="J31" i="13" s="1"/>
  <c r="B32" i="13"/>
  <c r="E17" i="13"/>
  <c r="F17" i="13" s="1"/>
  <c r="B18" i="13"/>
  <c r="I17" i="13"/>
  <c r="J17" i="13" s="1"/>
  <c r="K22" i="1" l="1"/>
  <c r="L8" i="1"/>
  <c r="E23" i="1"/>
  <c r="K23" i="1" s="1"/>
  <c r="I22" i="1"/>
  <c r="H22" i="1"/>
  <c r="J22" i="1"/>
  <c r="E24" i="1"/>
  <c r="K24" i="1" s="1"/>
  <c r="H8" i="1"/>
  <c r="I8" i="1"/>
  <c r="J8" i="1"/>
  <c r="I9" i="1"/>
  <c r="J9" i="1"/>
  <c r="H9" i="1"/>
  <c r="E32" i="13"/>
  <c r="F32" i="13" s="1"/>
  <c r="I32" i="13"/>
  <c r="J32" i="13" s="1"/>
  <c r="E18" i="13"/>
  <c r="F18" i="13" s="1"/>
  <c r="I18" i="13"/>
  <c r="J18" i="13" s="1"/>
  <c r="L23" i="1" l="1"/>
  <c r="L24" i="1"/>
  <c r="H24" i="1"/>
  <c r="I24" i="1"/>
  <c r="J24" i="1"/>
  <c r="H23" i="1"/>
  <c r="I23" i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Stephen R. Koontz:</t>
        </r>
        <r>
          <rPr>
            <sz val="8"/>
            <color indexed="81"/>
            <rFont val="Tahoma"/>
            <family val="2"/>
          </rPr>
          <t xml:space="preserve">
During the summer use OCT &amp; NOV.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C26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Pick an increment here so that the cells in this column have numbers that match the Strike Prices above.</t>
        </r>
      </text>
    </comment>
  </commentList>
</comments>
</file>

<file path=xl/sharedStrings.xml><?xml version="1.0" encoding="utf-8"?>
<sst xmlns="http://schemas.openxmlformats.org/spreadsheetml/2006/main" count="296" uniqueCount="93">
  <si>
    <t>Cash</t>
  </si>
  <si>
    <t>Floor</t>
  </si>
  <si>
    <t>Price</t>
  </si>
  <si>
    <t>Basis</t>
  </si>
  <si>
    <t>Strike</t>
  </si>
  <si>
    <t>Premium</t>
  </si>
  <si>
    <t>Contract</t>
  </si>
  <si>
    <t>Hedge</t>
  </si>
  <si>
    <t>Intervals</t>
  </si>
  <si>
    <t>Graph</t>
  </si>
  <si>
    <t>Fence1</t>
  </si>
  <si>
    <t>Fence2</t>
  </si>
  <si>
    <t>Strike Price</t>
  </si>
  <si>
    <t>What happens if price…</t>
  </si>
  <si>
    <t>goes up</t>
  </si>
  <si>
    <t>goes down</t>
  </si>
  <si>
    <t>stays same</t>
  </si>
  <si>
    <t>+ Basis</t>
  </si>
  <si>
    <t>- Premium</t>
  </si>
  <si>
    <t>= Price Floor</t>
  </si>
  <si>
    <t>Futures Price</t>
  </si>
  <si>
    <t>Cash Price</t>
  </si>
  <si>
    <t>Option Value</t>
  </si>
  <si>
    <t>Net Price</t>
  </si>
  <si>
    <t>Option Cost</t>
  </si>
  <si>
    <t>Price Floor =</t>
  </si>
  <si>
    <t>- Put Prem</t>
  </si>
  <si>
    <t>Price Ceiling =</t>
  </si>
  <si>
    <t>Put Strike P</t>
  </si>
  <si>
    <t>+ Call Prem</t>
  </si>
  <si>
    <t>Call Strike P</t>
  </si>
  <si>
    <t>= Floor</t>
  </si>
  <si>
    <t>= Ceiling</t>
  </si>
  <si>
    <t>Put Cost</t>
  </si>
  <si>
    <t>Put Value</t>
  </si>
  <si>
    <t>Call Revenue</t>
  </si>
  <si>
    <t>Buy a Put</t>
  </si>
  <si>
    <t>Sell a Put</t>
  </si>
  <si>
    <t>Net</t>
  </si>
  <si>
    <t>+ Premium</t>
  </si>
  <si>
    <t>Option Rev</t>
  </si>
  <si>
    <t>Buy a Call</t>
  </si>
  <si>
    <t>Sell a Call</t>
  </si>
  <si>
    <t>Up</t>
  </si>
  <si>
    <t>Down</t>
  </si>
  <si>
    <t>Amounts</t>
  </si>
  <si>
    <t>Incrmnt</t>
  </si>
  <si>
    <t>This spreadsheet contains a number of options examples.</t>
  </si>
  <si>
    <t>The general format followed within all the worksheets is as follows.  The blue cells are input cells.  All other cells may have formulas or are output to evaluate.</t>
  </si>
  <si>
    <t>Input Cell</t>
  </si>
  <si>
    <t>Put-Call Worksheet.  Input a Put option strike price and premium.  The spread sheet examines the results of buying or selling the option and the results of increasing and decreasing market prices.</t>
  </si>
  <si>
    <t>Input a Put option strike price and premium.  The spread sheet examines the results of buying or selling the option and the results of increasing and decreasing market prices.</t>
  </si>
  <si>
    <t>Option Liability</t>
  </si>
  <si>
    <t>Call Liability</t>
  </si>
  <si>
    <t>Buy Put</t>
  </si>
  <si>
    <t>Sell Put</t>
  </si>
  <si>
    <t>Buy Call</t>
  </si>
  <si>
    <t>Sell Call</t>
  </si>
  <si>
    <t>Futures</t>
  </si>
  <si>
    <t>@ Strike</t>
  </si>
  <si>
    <t>Sell F</t>
  </si>
  <si>
    <t>Buy F</t>
  </si>
  <si>
    <t>Futures Prices</t>
  </si>
  <si>
    <t>Put Option</t>
  </si>
  <si>
    <t>Strike Prices</t>
  </si>
  <si>
    <t>Premiums</t>
  </si>
  <si>
    <t>Out</t>
  </si>
  <si>
    <t>In</t>
  </si>
  <si>
    <t>Intrinsic</t>
  </si>
  <si>
    <t>Time</t>
  </si>
  <si>
    <t>Out/At</t>
  </si>
  <si>
    <t>Call Option</t>
  </si>
  <si>
    <t>Net Dollars</t>
  </si>
  <si>
    <t>Looking at Out-of-the-Money Options</t>
  </si>
  <si>
    <t>Futures Contract</t>
  </si>
  <si>
    <t>Today</t>
  </si>
  <si>
    <t>Days to Maturity</t>
  </si>
  <si>
    <t>Expiration Date</t>
  </si>
  <si>
    <t>Interest Rate</t>
  </si>
  <si>
    <t>Volatility</t>
  </si>
  <si>
    <t>Put Price</t>
  </si>
  <si>
    <t>Call Price</t>
  </si>
  <si>
    <t>x1</t>
  </si>
  <si>
    <t>x2</t>
  </si>
  <si>
    <t>Time Value Change Examples</t>
  </si>
  <si>
    <t>Change Futures Price</t>
  </si>
  <si>
    <t>Today's Work</t>
  </si>
  <si>
    <t>Time Value Examples w/ Out-of-Money Strike Price</t>
  </si>
  <si>
    <t>In/At</t>
  </si>
  <si>
    <t>OCT 2021</t>
  </si>
  <si>
    <t>NOV 2021</t>
  </si>
  <si>
    <t>Example Options &amp; Futures:  July 1, 2021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</si>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</sst>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&quot;$&quot;#,##0.000"/>
    <numFmt numFmtId="166" formatCode="0.00000"/>
    <numFmt numFmtId="167" formatCode="&quot;$&quot;#,##0.00"/>
    <numFmt numFmtId="168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" fillId="0" borderId="0" xfId="0" applyFont="1" applyAlignment="1"/>
    <xf numFmtId="2" fontId="1" fillId="2" borderId="0" xfId="0" applyNumberFormat="1" applyFont="1" applyFill="1"/>
    <xf numFmtId="2" fontId="1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2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5" xfId="0" applyFont="1" applyFill="1" applyBorder="1" applyAlignment="1"/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2" borderId="0" xfId="0" applyNumberFormat="1" applyFont="1" applyFill="1"/>
    <xf numFmtId="14" fontId="1" fillId="2" borderId="0" xfId="0" applyNumberFormat="1" applyFont="1" applyFill="1"/>
    <xf numFmtId="166" fontId="1" fillId="0" borderId="0" xfId="0" applyNumberFormat="1" applyFont="1"/>
    <xf numFmtId="165" fontId="1" fillId="3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/>
    <xf numFmtId="2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8" xfId="0" applyFont="1" applyFill="1" applyBorder="1" applyAlignment="1"/>
    <xf numFmtId="2" fontId="6" fillId="3" borderId="2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4" borderId="0" xfId="0" applyFont="1" applyFill="1"/>
    <xf numFmtId="164" fontId="6" fillId="5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/>
    <xf numFmtId="1" fontId="6" fillId="8" borderId="1" xfId="0" applyNumberFormat="1" applyFont="1" applyFill="1" applyBorder="1" applyAlignment="1">
      <alignment horizontal="center" vertical="center"/>
    </xf>
    <xf numFmtId="167" fontId="1" fillId="6" borderId="0" xfId="0" applyNumberFormat="1" applyFont="1" applyFill="1"/>
    <xf numFmtId="168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1" xfId="0" quotePrefix="1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quotePrefix="1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2" fontId="1" fillId="2" borderId="1" xfId="0" applyNumberFormat="1" applyFont="1" applyFill="1" applyBorder="1" applyAlignment="1"/>
    <xf numFmtId="2" fontId="1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2" fontId="1" fillId="3" borderId="0" xfId="0" applyNumberFormat="1" applyFont="1" applyFill="1" applyBorder="1" applyAlignment="1"/>
    <xf numFmtId="0" fontId="1" fillId="0" borderId="3" xfId="0" applyFont="1" applyBorder="1" applyAlignment="1"/>
    <xf numFmtId="15" fontId="1" fillId="0" borderId="4" xfId="0" applyNumberFormat="1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166" fontId="1" fillId="4" borderId="0" xfId="0" applyNumberFormat="1" applyFont="1" applyFill="1"/>
    <xf numFmtId="14" fontId="1" fillId="9" borderId="0" xfId="0" applyNumberFormat="1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0" borderId="1" xfId="0" applyNumberFormat="1" applyFont="1" applyBorder="1" applyAlignment="1"/>
    <xf numFmtId="0" fontId="1" fillId="3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6" fillId="0" borderId="6" xfId="0" quotePrefix="1" applyNumberFormat="1" applyFont="1" applyFill="1" applyBorder="1" applyAlignment="1">
      <alignment horizontal="center" vertical="center"/>
    </xf>
    <xf numFmtId="2" fontId="6" fillId="0" borderId="7" xfId="0" quotePrefix="1" applyNumberFormat="1" applyFont="1" applyFill="1" applyBorder="1" applyAlignment="1">
      <alignment horizontal="center" vertical="center"/>
    </xf>
    <xf numFmtId="2" fontId="6" fillId="0" borderId="8" xfId="0" quotePrefix="1" applyNumberFormat="1" applyFont="1" applyFill="1" applyBorder="1" applyAlignment="1">
      <alignment horizontal="center" vertical="center"/>
    </xf>
    <xf numFmtId="17" fontId="7" fillId="5" borderId="0" xfId="0" quotePrefix="1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7" fillId="3" borderId="0" xfId="0" quotePrefix="1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2" fontId="6" fillId="5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Put Options</a:t>
            </a:r>
          </a:p>
        </c:rich>
      </c:tx>
      <c:layout>
        <c:manualLayout>
          <c:xMode val="edge"/>
          <c:yMode val="edge"/>
          <c:x val="0.42841286190751565"/>
          <c:y val="1.957589419243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510543840178"/>
          <c:y val="0.14518760195758565"/>
          <c:w val="0.69589345172031081"/>
          <c:h val="0.75203915171288749"/>
        </c:manualLayout>
      </c:layout>
      <c:lineChart>
        <c:grouping val="standard"/>
        <c:varyColors val="0"/>
        <c:ser>
          <c:idx val="2"/>
          <c:order val="0"/>
          <c:tx>
            <c:strRef>
              <c:f>'Graph Put-Call Data'!$E$2</c:f>
              <c:strCache>
                <c:ptCount val="1"/>
                <c:pt idx="0">
                  <c:v>Buy Put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'Graph Put-Call Data'!$B$6:$B$22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 Put-Call Data'!$E$6:$E$22</c:f>
              <c:numCache>
                <c:formatCode>0.00</c:formatCode>
                <c:ptCount val="17"/>
                <c:pt idx="0">
                  <c:v>9.5300000000000011</c:v>
                </c:pt>
                <c:pt idx="1">
                  <c:v>7.53</c:v>
                </c:pt>
                <c:pt idx="2">
                  <c:v>5.53</c:v>
                </c:pt>
                <c:pt idx="3">
                  <c:v>3.5300000000000002</c:v>
                </c:pt>
                <c:pt idx="4">
                  <c:v>1.5300000000000002</c:v>
                </c:pt>
                <c:pt idx="5">
                  <c:v>-0.46999999999999975</c:v>
                </c:pt>
                <c:pt idx="6">
                  <c:v>-2.4699999999999998</c:v>
                </c:pt>
                <c:pt idx="7">
                  <c:v>-4.47</c:v>
                </c:pt>
                <c:pt idx="8">
                  <c:v>-6.47</c:v>
                </c:pt>
                <c:pt idx="9">
                  <c:v>-6.47</c:v>
                </c:pt>
                <c:pt idx="10">
                  <c:v>-6.47</c:v>
                </c:pt>
                <c:pt idx="11">
                  <c:v>-6.47</c:v>
                </c:pt>
                <c:pt idx="12">
                  <c:v>-6.47</c:v>
                </c:pt>
                <c:pt idx="13">
                  <c:v>-6.47</c:v>
                </c:pt>
                <c:pt idx="14">
                  <c:v>-6.47</c:v>
                </c:pt>
                <c:pt idx="15">
                  <c:v>-6.47</c:v>
                </c:pt>
                <c:pt idx="16">
                  <c:v>-6.47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0-4C8B-A664-A8AD2C85B269}"/>
            </c:ext>
          </c:extLst>
        </c:ser>
        <c:ser>
          <c:idx val="4"/>
          <c:order val="1"/>
          <c:tx>
            <c:strRef>
              <c:f>'Graph Put-Call Data'!$F$2</c:f>
              <c:strCache>
                <c:ptCount val="1"/>
                <c:pt idx="0">
                  <c:v>Sell Put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'Graph Put-Call Data'!$B$6:$B$22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 Put-Call Data'!$F$6:$F$22</c:f>
              <c:numCache>
                <c:formatCode>0.00</c:formatCode>
                <c:ptCount val="17"/>
                <c:pt idx="0">
                  <c:v>-9.5300000000000011</c:v>
                </c:pt>
                <c:pt idx="1">
                  <c:v>-7.53</c:v>
                </c:pt>
                <c:pt idx="2">
                  <c:v>-5.53</c:v>
                </c:pt>
                <c:pt idx="3">
                  <c:v>-3.5300000000000002</c:v>
                </c:pt>
                <c:pt idx="4">
                  <c:v>-1.5300000000000002</c:v>
                </c:pt>
                <c:pt idx="5">
                  <c:v>0.46999999999999975</c:v>
                </c:pt>
                <c:pt idx="6">
                  <c:v>2.4699999999999998</c:v>
                </c:pt>
                <c:pt idx="7">
                  <c:v>4.47</c:v>
                </c:pt>
                <c:pt idx="8">
                  <c:v>6.47</c:v>
                </c:pt>
                <c:pt idx="9">
                  <c:v>6.47</c:v>
                </c:pt>
                <c:pt idx="10">
                  <c:v>6.47</c:v>
                </c:pt>
                <c:pt idx="11">
                  <c:v>6.47</c:v>
                </c:pt>
                <c:pt idx="12">
                  <c:v>6.47</c:v>
                </c:pt>
                <c:pt idx="13">
                  <c:v>6.47</c:v>
                </c:pt>
                <c:pt idx="14">
                  <c:v>6.47</c:v>
                </c:pt>
                <c:pt idx="15">
                  <c:v>6.47</c:v>
                </c:pt>
                <c:pt idx="16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0-4C8B-A664-A8AD2C85B269}"/>
            </c:ext>
          </c:extLst>
        </c:ser>
        <c:ser>
          <c:idx val="0"/>
          <c:order val="2"/>
          <c:tx>
            <c:strRef>
              <c:f>'Graph Put-Call Data'!$J$3</c:f>
              <c:strCache>
                <c:ptCount val="1"/>
                <c:pt idx="0">
                  <c:v>Buy F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'Graph Put-Call Data'!$J$6:$J$22</c:f>
              <c:numCache>
                <c:formatCode>0.00</c:formatCode>
                <c:ptCount val="17"/>
                <c:pt idx="0">
                  <c:v>-16</c:v>
                </c:pt>
                <c:pt idx="1">
                  <c:v>-14</c:v>
                </c:pt>
                <c:pt idx="2">
                  <c:v>-12</c:v>
                </c:pt>
                <c:pt idx="3">
                  <c:v>-10</c:v>
                </c:pt>
                <c:pt idx="4">
                  <c:v>-8</c:v>
                </c:pt>
                <c:pt idx="5">
                  <c:v>-6</c:v>
                </c:pt>
                <c:pt idx="6">
                  <c:v>-4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0-4C8B-A664-A8AD2C85B269}"/>
            </c:ext>
          </c:extLst>
        </c:ser>
        <c:ser>
          <c:idx val="1"/>
          <c:order val="3"/>
          <c:tx>
            <c:strRef>
              <c:f>'Graph Put-Call Data'!$K$3</c:f>
              <c:strCache>
                <c:ptCount val="1"/>
                <c:pt idx="0">
                  <c:v>Sell F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'Graph Put-Call Data'!$K$6:$K$22</c:f>
              <c:numCache>
                <c:formatCode>0.00</c:formatCode>
                <c:ptCount val="17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-2</c:v>
                </c:pt>
                <c:pt idx="10">
                  <c:v>-4</c:v>
                </c:pt>
                <c:pt idx="11">
                  <c:v>-6</c:v>
                </c:pt>
                <c:pt idx="12">
                  <c:v>-8</c:v>
                </c:pt>
                <c:pt idx="13">
                  <c:v>-10</c:v>
                </c:pt>
                <c:pt idx="14">
                  <c:v>-12</c:v>
                </c:pt>
                <c:pt idx="15">
                  <c:v>-14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0-4C8B-A664-A8AD2C85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425200"/>
        <c:axId val="720425760"/>
      </c:lineChart>
      <c:catAx>
        <c:axId val="72042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Futures Price</a:t>
                </a:r>
              </a:p>
            </c:rich>
          </c:tx>
          <c:layout>
            <c:manualLayout>
              <c:xMode val="edge"/>
              <c:yMode val="edge"/>
              <c:x val="0.40843509387283028"/>
              <c:y val="0.92495915796589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25760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Profit</a:t>
                </a:r>
              </a:p>
            </c:rich>
          </c:tx>
          <c:layout>
            <c:manualLayout>
              <c:xMode val="edge"/>
              <c:yMode val="edge"/>
              <c:x val="1.2208700767956134E-2"/>
              <c:y val="0.442088129661952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25200"/>
        <c:crosses val="autoZero"/>
        <c:crossBetween val="between"/>
        <c:majorUnit val="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50717294385202"/>
          <c:y val="0.42903753353366259"/>
          <c:w val="0.15205331009908818"/>
          <c:h val="0.18433928464605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Call Options</a:t>
            </a:r>
          </a:p>
        </c:rich>
      </c:tx>
      <c:layout>
        <c:manualLayout>
          <c:xMode val="edge"/>
          <c:yMode val="edge"/>
          <c:x val="0.42508319505367909"/>
          <c:y val="1.957589419243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510543840178"/>
          <c:y val="0.14518760195758565"/>
          <c:w val="0.68923418423973359"/>
          <c:h val="0.75203915171288749"/>
        </c:manualLayout>
      </c:layout>
      <c:lineChart>
        <c:grouping val="standard"/>
        <c:varyColors val="0"/>
        <c:ser>
          <c:idx val="2"/>
          <c:order val="0"/>
          <c:tx>
            <c:strRef>
              <c:f>'Graph Put-Call Data'!$G$2</c:f>
              <c:strCache>
                <c:ptCount val="1"/>
                <c:pt idx="0">
                  <c:v>Buy Call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'Graph Put-Call Data'!$B$6:$B$22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 Put-Call Data'!$G$6:$G$22</c:f>
              <c:numCache>
                <c:formatCode>0.00</c:formatCode>
                <c:ptCount val="17"/>
                <c:pt idx="0">
                  <c:v>-6.72</c:v>
                </c:pt>
                <c:pt idx="1">
                  <c:v>-6.72</c:v>
                </c:pt>
                <c:pt idx="2">
                  <c:v>-6.72</c:v>
                </c:pt>
                <c:pt idx="3">
                  <c:v>-6.72</c:v>
                </c:pt>
                <c:pt idx="4">
                  <c:v>-6.72</c:v>
                </c:pt>
                <c:pt idx="5">
                  <c:v>-6.72</c:v>
                </c:pt>
                <c:pt idx="6">
                  <c:v>-6.72</c:v>
                </c:pt>
                <c:pt idx="7">
                  <c:v>-6.72</c:v>
                </c:pt>
                <c:pt idx="8">
                  <c:v>-6.72</c:v>
                </c:pt>
                <c:pt idx="9">
                  <c:v>-4.72</c:v>
                </c:pt>
                <c:pt idx="10">
                  <c:v>-2.7199999999999998</c:v>
                </c:pt>
                <c:pt idx="11">
                  <c:v>-0.71999999999999975</c:v>
                </c:pt>
                <c:pt idx="12">
                  <c:v>1.2800000000000002</c:v>
                </c:pt>
                <c:pt idx="13">
                  <c:v>3.2800000000000002</c:v>
                </c:pt>
                <c:pt idx="14">
                  <c:v>5.28</c:v>
                </c:pt>
                <c:pt idx="15">
                  <c:v>7.28</c:v>
                </c:pt>
                <c:pt idx="16">
                  <c:v>9.2800000000000011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0-49FD-90ED-6ED8E9731048}"/>
            </c:ext>
          </c:extLst>
        </c:ser>
        <c:ser>
          <c:idx val="4"/>
          <c:order val="1"/>
          <c:tx>
            <c:strRef>
              <c:f>'Graph Put-Call Data'!$H$2</c:f>
              <c:strCache>
                <c:ptCount val="1"/>
                <c:pt idx="0">
                  <c:v>Sell Call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'Graph Put-Call Data'!$B$6:$B$22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 Put-Call Data'!$H$6:$H$22</c:f>
              <c:numCache>
                <c:formatCode>0.00</c:formatCode>
                <c:ptCount val="17"/>
                <c:pt idx="0">
                  <c:v>6.72</c:v>
                </c:pt>
                <c:pt idx="1">
                  <c:v>6.72</c:v>
                </c:pt>
                <c:pt idx="2">
                  <c:v>6.72</c:v>
                </c:pt>
                <c:pt idx="3">
                  <c:v>6.72</c:v>
                </c:pt>
                <c:pt idx="4">
                  <c:v>6.72</c:v>
                </c:pt>
                <c:pt idx="5">
                  <c:v>6.72</c:v>
                </c:pt>
                <c:pt idx="6">
                  <c:v>6.72</c:v>
                </c:pt>
                <c:pt idx="7">
                  <c:v>6.72</c:v>
                </c:pt>
                <c:pt idx="8">
                  <c:v>6.72</c:v>
                </c:pt>
                <c:pt idx="9">
                  <c:v>4.72</c:v>
                </c:pt>
                <c:pt idx="10">
                  <c:v>2.7199999999999998</c:v>
                </c:pt>
                <c:pt idx="11">
                  <c:v>0.71999999999999975</c:v>
                </c:pt>
                <c:pt idx="12">
                  <c:v>-1.2800000000000002</c:v>
                </c:pt>
                <c:pt idx="13">
                  <c:v>-3.2800000000000002</c:v>
                </c:pt>
                <c:pt idx="14">
                  <c:v>-5.28</c:v>
                </c:pt>
                <c:pt idx="15">
                  <c:v>-7.28</c:v>
                </c:pt>
                <c:pt idx="16">
                  <c:v>-9.2800000000000011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0-49FD-90ED-6ED8E9731048}"/>
            </c:ext>
          </c:extLst>
        </c:ser>
        <c:ser>
          <c:idx val="0"/>
          <c:order val="2"/>
          <c:tx>
            <c:strRef>
              <c:f>'Graph Put-Call Data'!$J$3</c:f>
              <c:strCache>
                <c:ptCount val="1"/>
                <c:pt idx="0">
                  <c:v>Buy F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'Graph Put-Call Data'!$J$6:$J$22</c:f>
              <c:numCache>
                <c:formatCode>0.00</c:formatCode>
                <c:ptCount val="17"/>
                <c:pt idx="0">
                  <c:v>-16</c:v>
                </c:pt>
                <c:pt idx="1">
                  <c:v>-14</c:v>
                </c:pt>
                <c:pt idx="2">
                  <c:v>-12</c:v>
                </c:pt>
                <c:pt idx="3">
                  <c:v>-10</c:v>
                </c:pt>
                <c:pt idx="4">
                  <c:v>-8</c:v>
                </c:pt>
                <c:pt idx="5">
                  <c:v>-6</c:v>
                </c:pt>
                <c:pt idx="6">
                  <c:v>-4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0-49FD-90ED-6ED8E9731048}"/>
            </c:ext>
          </c:extLst>
        </c:ser>
        <c:ser>
          <c:idx val="1"/>
          <c:order val="3"/>
          <c:tx>
            <c:strRef>
              <c:f>'Graph Put-Call Data'!$K$3</c:f>
              <c:strCache>
                <c:ptCount val="1"/>
                <c:pt idx="0">
                  <c:v>Sell F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'Graph Put-Call Data'!$K$6:$K$22</c:f>
              <c:numCache>
                <c:formatCode>0.00</c:formatCode>
                <c:ptCount val="17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-2</c:v>
                </c:pt>
                <c:pt idx="10">
                  <c:v>-4</c:v>
                </c:pt>
                <c:pt idx="11">
                  <c:v>-6</c:v>
                </c:pt>
                <c:pt idx="12">
                  <c:v>-8</c:v>
                </c:pt>
                <c:pt idx="13">
                  <c:v>-10</c:v>
                </c:pt>
                <c:pt idx="14">
                  <c:v>-12</c:v>
                </c:pt>
                <c:pt idx="15">
                  <c:v>-14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70-49FD-90ED-6ED8E973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430240"/>
        <c:axId val="720430800"/>
      </c:lineChart>
      <c:catAx>
        <c:axId val="72043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Futures Price</a:t>
                </a:r>
              </a:p>
            </c:rich>
          </c:tx>
          <c:layout>
            <c:manualLayout>
              <c:xMode val="edge"/>
              <c:yMode val="edge"/>
              <c:x val="0.40510542701899366"/>
              <c:y val="0.92495915796589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3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30800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Profit</a:t>
                </a:r>
              </a:p>
            </c:rich>
          </c:tx>
          <c:layout>
            <c:manualLayout>
              <c:xMode val="edge"/>
              <c:yMode val="edge"/>
              <c:x val="1.2208700767956134E-2"/>
              <c:y val="0.442088129661952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30240"/>
        <c:crosses val="autoZero"/>
        <c:crossBetween val="between"/>
        <c:majorUnit val="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84795578034599"/>
          <c:y val="0.42903753353366259"/>
          <c:w val="0.15871252726259433"/>
          <c:h val="0.18433928464605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Floors</a:t>
            </a:r>
          </a:p>
        </c:rich>
      </c:tx>
      <c:layout>
        <c:manualLayout>
          <c:xMode val="edge"/>
          <c:yMode val="edge"/>
          <c:x val="0.4261931617010693"/>
          <c:y val="1.957589419243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14518760195758565"/>
          <c:w val="0.74805771365149831"/>
          <c:h val="0.67699836867862973"/>
        </c:manualLayout>
      </c:layout>
      <c:lineChart>
        <c:grouping val="standard"/>
        <c:varyColors val="0"/>
        <c:ser>
          <c:idx val="1"/>
          <c:order val="0"/>
          <c:tx>
            <c:strRef>
              <c:f>'Graphs Data'!$E$2</c:f>
              <c:strCache>
                <c:ptCount val="1"/>
                <c:pt idx="0">
                  <c:v>Cash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Data'!$E$8:$E$24</c:f>
              <c:numCache>
                <c:formatCode>0.00</c:formatCode>
                <c:ptCount val="17"/>
                <c:pt idx="0">
                  <c:v>136</c:v>
                </c:pt>
                <c:pt idx="1">
                  <c:v>138</c:v>
                </c:pt>
                <c:pt idx="2">
                  <c:v>140</c:v>
                </c:pt>
                <c:pt idx="3">
                  <c:v>142</c:v>
                </c:pt>
                <c:pt idx="4">
                  <c:v>144</c:v>
                </c:pt>
                <c:pt idx="5">
                  <c:v>146</c:v>
                </c:pt>
                <c:pt idx="6">
                  <c:v>148</c:v>
                </c:pt>
                <c:pt idx="7">
                  <c:v>150</c:v>
                </c:pt>
                <c:pt idx="8">
                  <c:v>152</c:v>
                </c:pt>
                <c:pt idx="9">
                  <c:v>154</c:v>
                </c:pt>
                <c:pt idx="10">
                  <c:v>156</c:v>
                </c:pt>
                <c:pt idx="11">
                  <c:v>158</c:v>
                </c:pt>
                <c:pt idx="12">
                  <c:v>160</c:v>
                </c:pt>
                <c:pt idx="13">
                  <c:v>162</c:v>
                </c:pt>
                <c:pt idx="14">
                  <c:v>164</c:v>
                </c:pt>
                <c:pt idx="15">
                  <c:v>166</c:v>
                </c:pt>
                <c:pt idx="1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0-46BD-ABE7-BB77C3413853}"/>
            </c:ext>
          </c:extLst>
        </c:ser>
        <c:ser>
          <c:idx val="2"/>
          <c:order val="1"/>
          <c:tx>
            <c:strRef>
              <c:f>'Graphs Data'!$H$3</c:f>
              <c:strCache>
                <c:ptCount val="1"/>
                <c:pt idx="0">
                  <c:v>158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Data'!$H$8:$H$24</c:f>
              <c:numCache>
                <c:formatCode>0.00</c:formatCode>
                <c:ptCount val="17"/>
                <c:pt idx="0">
                  <c:v>143.19999999999999</c:v>
                </c:pt>
                <c:pt idx="1">
                  <c:v>143.19999999999999</c:v>
                </c:pt>
                <c:pt idx="2">
                  <c:v>143.19999999999999</c:v>
                </c:pt>
                <c:pt idx="3">
                  <c:v>143.19999999999999</c:v>
                </c:pt>
                <c:pt idx="4">
                  <c:v>143.19999999999999</c:v>
                </c:pt>
                <c:pt idx="5">
                  <c:v>143.19999999999999</c:v>
                </c:pt>
                <c:pt idx="6">
                  <c:v>143.19999999999999</c:v>
                </c:pt>
                <c:pt idx="7">
                  <c:v>145.19999999999999</c:v>
                </c:pt>
                <c:pt idx="8">
                  <c:v>147.19999999999999</c:v>
                </c:pt>
                <c:pt idx="9">
                  <c:v>149.19999999999999</c:v>
                </c:pt>
                <c:pt idx="10">
                  <c:v>151.19999999999999</c:v>
                </c:pt>
                <c:pt idx="11">
                  <c:v>153.19999999999999</c:v>
                </c:pt>
                <c:pt idx="12">
                  <c:v>155.19999999999999</c:v>
                </c:pt>
                <c:pt idx="13">
                  <c:v>157.19999999999999</c:v>
                </c:pt>
                <c:pt idx="14">
                  <c:v>159.19999999999999</c:v>
                </c:pt>
                <c:pt idx="15">
                  <c:v>161.19999999999999</c:v>
                </c:pt>
                <c:pt idx="16">
                  <c:v>163.19999999999999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0-46BD-ABE7-BB77C3413853}"/>
            </c:ext>
          </c:extLst>
        </c:ser>
        <c:ser>
          <c:idx val="3"/>
          <c:order val="2"/>
          <c:tx>
            <c:strRef>
              <c:f>'Graphs Data'!$I$3</c:f>
              <c:strCache>
                <c:ptCount val="1"/>
                <c:pt idx="0">
                  <c:v>154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Data'!$I$8:$I$24</c:f>
              <c:numCache>
                <c:formatCode>0.00</c:formatCode>
                <c:ptCount val="17"/>
                <c:pt idx="0">
                  <c:v>140.55000000000001</c:v>
                </c:pt>
                <c:pt idx="1">
                  <c:v>140.55000000000001</c:v>
                </c:pt>
                <c:pt idx="2">
                  <c:v>140.55000000000001</c:v>
                </c:pt>
                <c:pt idx="3">
                  <c:v>140.55000000000001</c:v>
                </c:pt>
                <c:pt idx="4">
                  <c:v>140.55000000000001</c:v>
                </c:pt>
                <c:pt idx="5">
                  <c:v>142.55000000000001</c:v>
                </c:pt>
                <c:pt idx="6">
                  <c:v>144.55000000000001</c:v>
                </c:pt>
                <c:pt idx="7">
                  <c:v>146.55000000000001</c:v>
                </c:pt>
                <c:pt idx="8">
                  <c:v>148.55000000000001</c:v>
                </c:pt>
                <c:pt idx="9">
                  <c:v>150.55000000000001</c:v>
                </c:pt>
                <c:pt idx="10">
                  <c:v>152.55000000000001</c:v>
                </c:pt>
                <c:pt idx="11">
                  <c:v>154.55000000000001</c:v>
                </c:pt>
                <c:pt idx="12">
                  <c:v>156.55000000000001</c:v>
                </c:pt>
                <c:pt idx="13">
                  <c:v>158.55000000000001</c:v>
                </c:pt>
                <c:pt idx="14">
                  <c:v>160.55000000000001</c:v>
                </c:pt>
                <c:pt idx="15">
                  <c:v>162.55000000000001</c:v>
                </c:pt>
                <c:pt idx="16">
                  <c:v>164.55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0-46BD-ABE7-BB77C3413853}"/>
            </c:ext>
          </c:extLst>
        </c:ser>
        <c:ser>
          <c:idx val="4"/>
          <c:order val="3"/>
          <c:tx>
            <c:strRef>
              <c:f>'Graphs Data'!$J$3</c:f>
              <c:strCache>
                <c:ptCount val="1"/>
                <c:pt idx="0">
                  <c:v>150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Data'!$J$8:$J$24</c:f>
              <c:numCache>
                <c:formatCode>0.00</c:formatCode>
                <c:ptCount val="17"/>
                <c:pt idx="0">
                  <c:v>137.58000000000001</c:v>
                </c:pt>
                <c:pt idx="1">
                  <c:v>137.58000000000001</c:v>
                </c:pt>
                <c:pt idx="2">
                  <c:v>137.58000000000001</c:v>
                </c:pt>
                <c:pt idx="3">
                  <c:v>139.58000000000001</c:v>
                </c:pt>
                <c:pt idx="4">
                  <c:v>141.58000000000001</c:v>
                </c:pt>
                <c:pt idx="5">
                  <c:v>143.58000000000001</c:v>
                </c:pt>
                <c:pt idx="6">
                  <c:v>145.58000000000001</c:v>
                </c:pt>
                <c:pt idx="7">
                  <c:v>147.58000000000001</c:v>
                </c:pt>
                <c:pt idx="8">
                  <c:v>149.58000000000001</c:v>
                </c:pt>
                <c:pt idx="9">
                  <c:v>151.58000000000001</c:v>
                </c:pt>
                <c:pt idx="10">
                  <c:v>153.58000000000001</c:v>
                </c:pt>
                <c:pt idx="11">
                  <c:v>155.58000000000001</c:v>
                </c:pt>
                <c:pt idx="12">
                  <c:v>157.58000000000001</c:v>
                </c:pt>
                <c:pt idx="13">
                  <c:v>159.58000000000001</c:v>
                </c:pt>
                <c:pt idx="14">
                  <c:v>161.58000000000001</c:v>
                </c:pt>
                <c:pt idx="15">
                  <c:v>163.58000000000001</c:v>
                </c:pt>
                <c:pt idx="16">
                  <c:v>165.58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0-46BD-ABE7-BB77C3413853}"/>
            </c:ext>
          </c:extLst>
        </c:ser>
        <c:ser>
          <c:idx val="0"/>
          <c:order val="4"/>
          <c:tx>
            <c:strRef>
              <c:f>'Graphs Data'!$F$2</c:f>
              <c:strCache>
                <c:ptCount val="1"/>
                <c:pt idx="0">
                  <c:v>Hedge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Data'!$F$8:$F$24</c:f>
              <c:numCache>
                <c:formatCode>0.00</c:formatCode>
                <c:ptCount val="17"/>
                <c:pt idx="0">
                  <c:v>152.25</c:v>
                </c:pt>
                <c:pt idx="1">
                  <c:v>152.25</c:v>
                </c:pt>
                <c:pt idx="2">
                  <c:v>152.25</c:v>
                </c:pt>
                <c:pt idx="3">
                  <c:v>152.25</c:v>
                </c:pt>
                <c:pt idx="4">
                  <c:v>152.25</c:v>
                </c:pt>
                <c:pt idx="5">
                  <c:v>152.25</c:v>
                </c:pt>
                <c:pt idx="6">
                  <c:v>152.25</c:v>
                </c:pt>
                <c:pt idx="7">
                  <c:v>152.25</c:v>
                </c:pt>
                <c:pt idx="8">
                  <c:v>152.25</c:v>
                </c:pt>
                <c:pt idx="9">
                  <c:v>152.25</c:v>
                </c:pt>
                <c:pt idx="10">
                  <c:v>152.25</c:v>
                </c:pt>
                <c:pt idx="11">
                  <c:v>152.25</c:v>
                </c:pt>
                <c:pt idx="12">
                  <c:v>152.25</c:v>
                </c:pt>
                <c:pt idx="13">
                  <c:v>152.25</c:v>
                </c:pt>
                <c:pt idx="14">
                  <c:v>152.25</c:v>
                </c:pt>
                <c:pt idx="15">
                  <c:v>152.25</c:v>
                </c:pt>
                <c:pt idx="16">
                  <c:v>152.25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0-46BD-ABE7-BB77C341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58192"/>
        <c:axId val="226359312"/>
      </c:lineChart>
      <c:catAx>
        <c:axId val="22635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Futures Price</a:t>
                </a:r>
              </a:p>
            </c:rich>
          </c:tx>
          <c:layout>
            <c:manualLayout>
              <c:xMode val="edge"/>
              <c:yMode val="edge"/>
              <c:x val="0.41065479407927663"/>
              <c:y val="0.92495915796589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5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59312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Price</a:t>
                </a:r>
              </a:p>
            </c:rich>
          </c:tx>
          <c:layout>
            <c:manualLayout>
              <c:xMode val="edge"/>
              <c:yMode val="edge"/>
              <c:x val="1.2208700767956134E-2"/>
              <c:y val="0.40619907601272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58192"/>
        <c:crosses val="autoZero"/>
        <c:crossBetween val="between"/>
        <c:majorUnit val="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25412478943376"/>
          <c:y val="0.36867856929210396"/>
          <c:w val="0.12430635825350644"/>
          <c:h val="0.23001637109506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Floor and Fences</a:t>
            </a:r>
          </a:p>
        </c:rich>
      </c:tx>
      <c:layout>
        <c:manualLayout>
          <c:xMode val="edge"/>
          <c:yMode val="edge"/>
          <c:x val="0.36403992430223259"/>
          <c:y val="1.957589419243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14518760195758565"/>
          <c:w val="0.73917869034406214"/>
          <c:h val="0.67699836867862973"/>
        </c:manualLayout>
      </c:layout>
      <c:lineChart>
        <c:grouping val="standard"/>
        <c:varyColors val="0"/>
        <c:ser>
          <c:idx val="1"/>
          <c:order val="0"/>
          <c:tx>
            <c:strRef>
              <c:f>'Graphs Data'!$E$2</c:f>
              <c:strCache>
                <c:ptCount val="1"/>
                <c:pt idx="0">
                  <c:v>Cash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Data'!$E$8:$E$24</c:f>
              <c:numCache>
                <c:formatCode>0.00</c:formatCode>
                <c:ptCount val="17"/>
                <c:pt idx="0">
                  <c:v>136</c:v>
                </c:pt>
                <c:pt idx="1">
                  <c:v>138</c:v>
                </c:pt>
                <c:pt idx="2">
                  <c:v>140</c:v>
                </c:pt>
                <c:pt idx="3">
                  <c:v>142</c:v>
                </c:pt>
                <c:pt idx="4">
                  <c:v>144</c:v>
                </c:pt>
                <c:pt idx="5">
                  <c:v>146</c:v>
                </c:pt>
                <c:pt idx="6">
                  <c:v>148</c:v>
                </c:pt>
                <c:pt idx="7">
                  <c:v>150</c:v>
                </c:pt>
                <c:pt idx="8">
                  <c:v>152</c:v>
                </c:pt>
                <c:pt idx="9">
                  <c:v>154</c:v>
                </c:pt>
                <c:pt idx="10">
                  <c:v>156</c:v>
                </c:pt>
                <c:pt idx="11">
                  <c:v>158</c:v>
                </c:pt>
                <c:pt idx="12">
                  <c:v>160</c:v>
                </c:pt>
                <c:pt idx="13">
                  <c:v>162</c:v>
                </c:pt>
                <c:pt idx="14">
                  <c:v>164</c:v>
                </c:pt>
                <c:pt idx="15">
                  <c:v>166</c:v>
                </c:pt>
                <c:pt idx="1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0-412B-90AA-5B99F955E1CC}"/>
            </c:ext>
          </c:extLst>
        </c:ser>
        <c:ser>
          <c:idx val="3"/>
          <c:order val="1"/>
          <c:tx>
            <c:strRef>
              <c:f>'Graphs Data'!$I$3</c:f>
              <c:strCache>
                <c:ptCount val="1"/>
                <c:pt idx="0">
                  <c:v>154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Data'!$I$8:$I$24</c:f>
              <c:numCache>
                <c:formatCode>0.00</c:formatCode>
                <c:ptCount val="17"/>
                <c:pt idx="0">
                  <c:v>140.55000000000001</c:v>
                </c:pt>
                <c:pt idx="1">
                  <c:v>140.55000000000001</c:v>
                </c:pt>
                <c:pt idx="2">
                  <c:v>140.55000000000001</c:v>
                </c:pt>
                <c:pt idx="3">
                  <c:v>140.55000000000001</c:v>
                </c:pt>
                <c:pt idx="4">
                  <c:v>140.55000000000001</c:v>
                </c:pt>
                <c:pt idx="5">
                  <c:v>142.55000000000001</c:v>
                </c:pt>
                <c:pt idx="6">
                  <c:v>144.55000000000001</c:v>
                </c:pt>
                <c:pt idx="7">
                  <c:v>146.55000000000001</c:v>
                </c:pt>
                <c:pt idx="8">
                  <c:v>148.55000000000001</c:v>
                </c:pt>
                <c:pt idx="9">
                  <c:v>150.55000000000001</c:v>
                </c:pt>
                <c:pt idx="10">
                  <c:v>152.55000000000001</c:v>
                </c:pt>
                <c:pt idx="11">
                  <c:v>154.55000000000001</c:v>
                </c:pt>
                <c:pt idx="12">
                  <c:v>156.55000000000001</c:v>
                </c:pt>
                <c:pt idx="13">
                  <c:v>158.55000000000001</c:v>
                </c:pt>
                <c:pt idx="14">
                  <c:v>160.55000000000001</c:v>
                </c:pt>
                <c:pt idx="15">
                  <c:v>162.55000000000001</c:v>
                </c:pt>
                <c:pt idx="16">
                  <c:v>164.55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0-412B-90AA-5B99F955E1CC}"/>
            </c:ext>
          </c:extLst>
        </c:ser>
        <c:ser>
          <c:idx val="0"/>
          <c:order val="2"/>
          <c:tx>
            <c:strRef>
              <c:f>'Graphs Data'!$F$2</c:f>
              <c:strCache>
                <c:ptCount val="1"/>
                <c:pt idx="0">
                  <c:v>Hedge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Data'!$F$8:$F$24</c:f>
              <c:numCache>
                <c:formatCode>0.00</c:formatCode>
                <c:ptCount val="17"/>
                <c:pt idx="0">
                  <c:v>152.25</c:v>
                </c:pt>
                <c:pt idx="1">
                  <c:v>152.25</c:v>
                </c:pt>
                <c:pt idx="2">
                  <c:v>152.25</c:v>
                </c:pt>
                <c:pt idx="3">
                  <c:v>152.25</c:v>
                </c:pt>
                <c:pt idx="4">
                  <c:v>152.25</c:v>
                </c:pt>
                <c:pt idx="5">
                  <c:v>152.25</c:v>
                </c:pt>
                <c:pt idx="6">
                  <c:v>152.25</c:v>
                </c:pt>
                <c:pt idx="7">
                  <c:v>152.25</c:v>
                </c:pt>
                <c:pt idx="8">
                  <c:v>152.25</c:v>
                </c:pt>
                <c:pt idx="9">
                  <c:v>152.25</c:v>
                </c:pt>
                <c:pt idx="10">
                  <c:v>152.25</c:v>
                </c:pt>
                <c:pt idx="11">
                  <c:v>152.25</c:v>
                </c:pt>
                <c:pt idx="12">
                  <c:v>152.25</c:v>
                </c:pt>
                <c:pt idx="13">
                  <c:v>152.25</c:v>
                </c:pt>
                <c:pt idx="14">
                  <c:v>152.25</c:v>
                </c:pt>
                <c:pt idx="15">
                  <c:v>152.25</c:v>
                </c:pt>
                <c:pt idx="16">
                  <c:v>152.25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0-412B-90AA-5B99F955E1CC}"/>
            </c:ext>
          </c:extLst>
        </c:ser>
        <c:ser>
          <c:idx val="5"/>
          <c:order val="3"/>
          <c:tx>
            <c:strRef>
              <c:f>'Graphs Data'!$K$2</c:f>
              <c:strCache>
                <c:ptCount val="1"/>
                <c:pt idx="0">
                  <c:v>Fence1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Data'!$K$8:$K$24</c:f>
              <c:numCache>
                <c:formatCode>0.00</c:formatCode>
                <c:ptCount val="17"/>
                <c:pt idx="0">
                  <c:v>143.80000000000001</c:v>
                </c:pt>
                <c:pt idx="1">
                  <c:v>143.80000000000001</c:v>
                </c:pt>
                <c:pt idx="2">
                  <c:v>143.80000000000001</c:v>
                </c:pt>
                <c:pt idx="3">
                  <c:v>143.80000000000001</c:v>
                </c:pt>
                <c:pt idx="4">
                  <c:v>143.80000000000001</c:v>
                </c:pt>
                <c:pt idx="5">
                  <c:v>145.80000000000001</c:v>
                </c:pt>
                <c:pt idx="6">
                  <c:v>147.80000000000001</c:v>
                </c:pt>
                <c:pt idx="7">
                  <c:v>149.80000000000001</c:v>
                </c:pt>
                <c:pt idx="8">
                  <c:v>151.80000000000001</c:v>
                </c:pt>
                <c:pt idx="9">
                  <c:v>153.80000000000001</c:v>
                </c:pt>
                <c:pt idx="10">
                  <c:v>155.80000000000001</c:v>
                </c:pt>
                <c:pt idx="11">
                  <c:v>157.80000000000001</c:v>
                </c:pt>
                <c:pt idx="12">
                  <c:v>159.80000000000001</c:v>
                </c:pt>
                <c:pt idx="13">
                  <c:v>159.80000000000001</c:v>
                </c:pt>
                <c:pt idx="14">
                  <c:v>159.80000000000001</c:v>
                </c:pt>
                <c:pt idx="15">
                  <c:v>159.80000000000001</c:v>
                </c:pt>
                <c:pt idx="16">
                  <c:v>159.80000000000001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0-412B-90AA-5B99F955E1CC}"/>
            </c:ext>
          </c:extLst>
        </c:ser>
        <c:ser>
          <c:idx val="2"/>
          <c:order val="4"/>
          <c:tx>
            <c:strRef>
              <c:f>'Graphs Data'!$L$2</c:f>
              <c:strCache>
                <c:ptCount val="1"/>
                <c:pt idx="0">
                  <c:v>Fence2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'Graphs Data'!$C$8:$C$24</c:f>
              <c:numCache>
                <c:formatCode>0.00</c:formatCode>
                <c:ptCount val="17"/>
                <c:pt idx="0">
                  <c:v>146</c:v>
                </c:pt>
                <c:pt idx="1">
                  <c:v>148</c:v>
                </c:pt>
                <c:pt idx="2">
                  <c:v>150</c:v>
                </c:pt>
                <c:pt idx="3">
                  <c:v>152</c:v>
                </c:pt>
                <c:pt idx="4">
                  <c:v>154</c:v>
                </c:pt>
                <c:pt idx="5">
                  <c:v>156</c:v>
                </c:pt>
                <c:pt idx="6">
                  <c:v>158</c:v>
                </c:pt>
                <c:pt idx="7">
                  <c:v>160</c:v>
                </c:pt>
                <c:pt idx="8">
                  <c:v>162</c:v>
                </c:pt>
                <c:pt idx="9">
                  <c:v>164</c:v>
                </c:pt>
                <c:pt idx="10">
                  <c:v>166</c:v>
                </c:pt>
                <c:pt idx="11">
                  <c:v>168</c:v>
                </c:pt>
                <c:pt idx="12">
                  <c:v>170</c:v>
                </c:pt>
                <c:pt idx="13">
                  <c:v>172</c:v>
                </c:pt>
                <c:pt idx="14">
                  <c:v>174</c:v>
                </c:pt>
                <c:pt idx="15">
                  <c:v>176</c:v>
                </c:pt>
                <c:pt idx="16">
                  <c:v>178</c:v>
                </c:pt>
              </c:numCache>
            </c:numRef>
          </c:cat>
          <c:val>
            <c:numRef>
              <c:f>'Graphs Data'!$L$8:$L$24</c:f>
              <c:numCache>
                <c:formatCode>0.00</c:formatCode>
                <c:ptCount val="17"/>
                <c:pt idx="0">
                  <c:v>143.22</c:v>
                </c:pt>
                <c:pt idx="1">
                  <c:v>143.22</c:v>
                </c:pt>
                <c:pt idx="2">
                  <c:v>143.22</c:v>
                </c:pt>
                <c:pt idx="3">
                  <c:v>143.22</c:v>
                </c:pt>
                <c:pt idx="4">
                  <c:v>143.22</c:v>
                </c:pt>
                <c:pt idx="5">
                  <c:v>145.22</c:v>
                </c:pt>
                <c:pt idx="6">
                  <c:v>147.22</c:v>
                </c:pt>
                <c:pt idx="7">
                  <c:v>149.22</c:v>
                </c:pt>
                <c:pt idx="8">
                  <c:v>151.22</c:v>
                </c:pt>
                <c:pt idx="9">
                  <c:v>153.22</c:v>
                </c:pt>
                <c:pt idx="10">
                  <c:v>155.22</c:v>
                </c:pt>
                <c:pt idx="11">
                  <c:v>157.22</c:v>
                </c:pt>
                <c:pt idx="12">
                  <c:v>159.22</c:v>
                </c:pt>
                <c:pt idx="13">
                  <c:v>161.22</c:v>
                </c:pt>
                <c:pt idx="14">
                  <c:v>161.22</c:v>
                </c:pt>
                <c:pt idx="15">
                  <c:v>161.22</c:v>
                </c:pt>
                <c:pt idx="16">
                  <c:v>161.22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10-412B-90AA-5B99F955E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49024"/>
        <c:axId val="722749584"/>
      </c:lineChart>
      <c:catAx>
        <c:axId val="7227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Futures Price</a:t>
                </a:r>
              </a:p>
            </c:rich>
          </c:tx>
          <c:layout>
            <c:manualLayout>
              <c:xMode val="edge"/>
              <c:yMode val="edge"/>
              <c:x val="0.40621527712221689"/>
              <c:y val="0.92495915796589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74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749584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Price</a:t>
                </a:r>
              </a:p>
            </c:rich>
          </c:tx>
          <c:layout>
            <c:manualLayout>
              <c:xMode val="edge"/>
              <c:yMode val="edge"/>
              <c:x val="1.2208700767956134E-2"/>
              <c:y val="0.40619907601272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749024"/>
        <c:crosses val="autoZero"/>
        <c:crossBetween val="between"/>
        <c:majorUnit val="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37509087531428"/>
          <c:y val="0.36867856929210396"/>
          <c:w val="0.13318539216762593"/>
          <c:h val="0.23001637109506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tabSelected="1" zoomScale="120" zoomScaleNormal="120" workbookViewId="0">
      <selection activeCell="A6" sqref="A6"/>
    </sheetView>
  </sheetViews>
  <sheetFormatPr defaultRowHeight="12.75" x14ac:dyDescent="0.2"/>
  <cols>
    <col min="1" max="1" width="100.7109375" style="11" customWidth="1"/>
  </cols>
  <sheetData>
    <row r="2" spans="1:1" x14ac:dyDescent="0.2">
      <c r="A2" s="11" t="s">
        <v>47</v>
      </c>
    </row>
    <row r="4" spans="1:1" ht="25.5" x14ac:dyDescent="0.2">
      <c r="A4" s="11" t="s">
        <v>48</v>
      </c>
    </row>
    <row r="6" spans="1:1" x14ac:dyDescent="0.2">
      <c r="A6" s="12" t="s">
        <v>49</v>
      </c>
    </row>
    <row r="8" spans="1:1" ht="25.5" x14ac:dyDescent="0.2">
      <c r="A8" s="11" t="s">
        <v>50</v>
      </c>
    </row>
    <row r="10" spans="1:1" ht="25.5" x14ac:dyDescent="0.2">
      <c r="A10" s="11" t="s">
        <v>51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zoomScale="120" zoomScaleNormal="120" workbookViewId="0">
      <pane ySplit="4" topLeftCell="A5" activePane="bottomLeft" state="frozen"/>
      <selection pane="bottomLeft" activeCell="G13" sqref="G13"/>
    </sheetView>
  </sheetViews>
  <sheetFormatPr defaultRowHeight="12.75" x14ac:dyDescent="0.2"/>
  <cols>
    <col min="1" max="1" width="4.28515625" style="17" customWidth="1"/>
    <col min="2" max="2" width="15" style="17" bestFit="1" customWidth="1"/>
    <col min="3" max="16384" width="9.140625" style="17"/>
  </cols>
  <sheetData>
    <row r="1" spans="1:14" ht="13.5" thickBot="1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x14ac:dyDescent="0.2">
      <c r="A2" s="65"/>
      <c r="B2" s="105" t="s">
        <v>91</v>
      </c>
      <c r="C2" s="106"/>
      <c r="D2" s="106"/>
      <c r="E2" s="106"/>
      <c r="F2" s="106"/>
      <c r="G2" s="106"/>
      <c r="H2" s="106"/>
      <c r="I2" s="106"/>
      <c r="J2" s="107"/>
      <c r="N2" s="24"/>
    </row>
    <row r="3" spans="1:14" x14ac:dyDescent="0.2">
      <c r="A3" s="66"/>
      <c r="B3" s="23"/>
      <c r="C3" s="108" t="s">
        <v>89</v>
      </c>
      <c r="D3" s="109"/>
      <c r="E3" s="20"/>
      <c r="F3" s="20"/>
      <c r="G3" s="110" t="s">
        <v>90</v>
      </c>
      <c r="H3" s="111"/>
      <c r="I3" s="20"/>
      <c r="J3" s="24"/>
      <c r="N3" s="24"/>
    </row>
    <row r="4" spans="1:14" ht="13.5" thickBot="1" x14ac:dyDescent="0.25">
      <c r="A4" s="67"/>
      <c r="B4" s="25" t="s">
        <v>62</v>
      </c>
      <c r="C4" s="114">
        <v>161.07</v>
      </c>
      <c r="D4" s="114"/>
      <c r="E4" s="26"/>
      <c r="F4" s="26"/>
      <c r="G4" s="115">
        <v>162.25</v>
      </c>
      <c r="H4" s="115"/>
      <c r="I4" s="27"/>
      <c r="J4" s="28"/>
      <c r="N4" s="24"/>
    </row>
    <row r="5" spans="1:14" ht="13.5" thickBot="1" x14ac:dyDescent="0.25">
      <c r="A5" s="67"/>
      <c r="B5" s="21"/>
      <c r="C5" s="22"/>
      <c r="D5" s="22"/>
      <c r="E5" s="22"/>
      <c r="F5" s="22"/>
      <c r="G5" s="22"/>
      <c r="H5" s="22"/>
      <c r="I5" s="20"/>
      <c r="N5" s="24"/>
    </row>
    <row r="6" spans="1:14" x14ac:dyDescent="0.2">
      <c r="A6" s="66"/>
      <c r="B6" s="31" t="s">
        <v>63</v>
      </c>
      <c r="C6" s="32"/>
      <c r="D6" s="32"/>
      <c r="E6" s="32"/>
      <c r="F6" s="32"/>
      <c r="G6" s="41"/>
      <c r="H6" s="41"/>
      <c r="I6" s="42"/>
      <c r="J6" s="43"/>
      <c r="N6" s="24"/>
    </row>
    <row r="7" spans="1:14" x14ac:dyDescent="0.2">
      <c r="A7" s="66"/>
      <c r="B7" s="23" t="s">
        <v>64</v>
      </c>
      <c r="C7" s="112" t="s">
        <v>65</v>
      </c>
      <c r="D7" s="112"/>
      <c r="E7" s="58" t="s">
        <v>68</v>
      </c>
      <c r="F7" s="58" t="s">
        <v>69</v>
      </c>
      <c r="G7" s="113" t="s">
        <v>65</v>
      </c>
      <c r="H7" s="113"/>
      <c r="I7" s="59" t="s">
        <v>68</v>
      </c>
      <c r="J7" s="44" t="s">
        <v>69</v>
      </c>
      <c r="N7" s="24"/>
    </row>
    <row r="8" spans="1:14" x14ac:dyDescent="0.2">
      <c r="A8" s="66"/>
      <c r="B8" s="29">
        <v>144</v>
      </c>
      <c r="C8" s="48">
        <v>1.32</v>
      </c>
      <c r="D8" s="58" t="s">
        <v>66</v>
      </c>
      <c r="E8" s="48">
        <f>MAX($B8-C$4,0)</f>
        <v>0</v>
      </c>
      <c r="F8" s="48">
        <f>C8-E8</f>
        <v>1.32</v>
      </c>
      <c r="G8" s="49">
        <v>1.4</v>
      </c>
      <c r="H8" s="59" t="s">
        <v>66</v>
      </c>
      <c r="I8" s="49">
        <f t="shared" ref="I8:I18" si="0">MAX($B8-G$4,0)</f>
        <v>0</v>
      </c>
      <c r="J8" s="50">
        <f t="shared" ref="J8:J18" si="1">G8-I8</f>
        <v>1.4</v>
      </c>
      <c r="L8" s="56">
        <f t="shared" ref="L8:L15" si="2">C8*500</f>
        <v>660</v>
      </c>
      <c r="M8" s="56">
        <f t="shared" ref="M8:M15" si="3">G8*500</f>
        <v>700</v>
      </c>
      <c r="N8" s="24"/>
    </row>
    <row r="9" spans="1:14" x14ac:dyDescent="0.2">
      <c r="A9" s="66"/>
      <c r="B9" s="29">
        <f>B8+2</f>
        <v>146</v>
      </c>
      <c r="C9" s="48">
        <v>1.62</v>
      </c>
      <c r="D9" s="58" t="s">
        <v>66</v>
      </c>
      <c r="E9" s="48">
        <f t="shared" ref="E9:E15" si="4">MAX($B9-C$4,0)</f>
        <v>0</v>
      </c>
      <c r="F9" s="48">
        <f t="shared" ref="F9:F15" si="5">C9-E9</f>
        <v>1.62</v>
      </c>
      <c r="G9" s="49">
        <v>1.67</v>
      </c>
      <c r="H9" s="59" t="s">
        <v>66</v>
      </c>
      <c r="I9" s="49">
        <f t="shared" si="0"/>
        <v>0</v>
      </c>
      <c r="J9" s="50">
        <f t="shared" si="1"/>
        <v>1.67</v>
      </c>
      <c r="L9" s="56">
        <f t="shared" si="2"/>
        <v>810</v>
      </c>
      <c r="M9" s="56">
        <f t="shared" si="3"/>
        <v>835</v>
      </c>
      <c r="N9" s="24"/>
    </row>
    <row r="10" spans="1:14" x14ac:dyDescent="0.2">
      <c r="A10" s="65"/>
      <c r="B10" s="29">
        <f t="shared" ref="B10:B18" si="6">B9+2</f>
        <v>148</v>
      </c>
      <c r="C10" s="48">
        <v>1.97</v>
      </c>
      <c r="D10" s="58" t="s">
        <v>66</v>
      </c>
      <c r="E10" s="48">
        <f t="shared" si="4"/>
        <v>0</v>
      </c>
      <c r="F10" s="48">
        <f t="shared" si="5"/>
        <v>1.97</v>
      </c>
      <c r="G10" s="49">
        <v>2.02</v>
      </c>
      <c r="H10" s="59" t="s">
        <v>66</v>
      </c>
      <c r="I10" s="49">
        <f t="shared" si="0"/>
        <v>0</v>
      </c>
      <c r="J10" s="50">
        <f t="shared" si="1"/>
        <v>2.02</v>
      </c>
      <c r="L10" s="56">
        <f t="shared" si="2"/>
        <v>985</v>
      </c>
      <c r="M10" s="56">
        <f t="shared" si="3"/>
        <v>1010</v>
      </c>
      <c r="N10" s="24"/>
    </row>
    <row r="11" spans="1:14" x14ac:dyDescent="0.2">
      <c r="A11" s="66"/>
      <c r="B11" s="29">
        <f t="shared" si="6"/>
        <v>150</v>
      </c>
      <c r="C11" s="48">
        <v>2.4</v>
      </c>
      <c r="D11" s="58" t="s">
        <v>66</v>
      </c>
      <c r="E11" s="48">
        <f t="shared" si="4"/>
        <v>0</v>
      </c>
      <c r="F11" s="48">
        <f t="shared" si="5"/>
        <v>2.4</v>
      </c>
      <c r="G11" s="49">
        <v>2.42</v>
      </c>
      <c r="H11" s="59" t="s">
        <v>66</v>
      </c>
      <c r="I11" s="49">
        <f t="shared" si="0"/>
        <v>0</v>
      </c>
      <c r="J11" s="50">
        <f t="shared" si="1"/>
        <v>2.42</v>
      </c>
      <c r="L11" s="56">
        <f t="shared" si="2"/>
        <v>1200</v>
      </c>
      <c r="M11" s="56">
        <f t="shared" si="3"/>
        <v>1210</v>
      </c>
      <c r="N11" s="24"/>
    </row>
    <row r="12" spans="1:14" x14ac:dyDescent="0.2">
      <c r="A12" s="67"/>
      <c r="B12" s="29">
        <f t="shared" si="6"/>
        <v>152</v>
      </c>
      <c r="C12" s="48">
        <v>2.87</v>
      </c>
      <c r="D12" s="58" t="s">
        <v>66</v>
      </c>
      <c r="E12" s="48">
        <f t="shared" si="4"/>
        <v>0</v>
      </c>
      <c r="F12" s="48">
        <f t="shared" si="5"/>
        <v>2.87</v>
      </c>
      <c r="G12" s="49">
        <v>2.9</v>
      </c>
      <c r="H12" s="59" t="s">
        <v>66</v>
      </c>
      <c r="I12" s="49">
        <f t="shared" si="0"/>
        <v>0</v>
      </c>
      <c r="J12" s="50">
        <f t="shared" si="1"/>
        <v>2.9</v>
      </c>
      <c r="L12" s="56">
        <f t="shared" si="2"/>
        <v>1435</v>
      </c>
      <c r="M12" s="56">
        <f t="shared" si="3"/>
        <v>1450</v>
      </c>
      <c r="N12" s="24"/>
    </row>
    <row r="13" spans="1:14" x14ac:dyDescent="0.2">
      <c r="A13" s="66"/>
      <c r="B13" s="29">
        <f t="shared" si="6"/>
        <v>154</v>
      </c>
      <c r="C13" s="48">
        <v>3.45</v>
      </c>
      <c r="D13" s="58" t="s">
        <v>66</v>
      </c>
      <c r="E13" s="48">
        <f t="shared" si="4"/>
        <v>0</v>
      </c>
      <c r="F13" s="48">
        <f t="shared" si="5"/>
        <v>3.45</v>
      </c>
      <c r="G13" s="49">
        <v>3.45</v>
      </c>
      <c r="H13" s="59" t="s">
        <v>66</v>
      </c>
      <c r="I13" s="49">
        <f t="shared" si="0"/>
        <v>0</v>
      </c>
      <c r="J13" s="50">
        <f t="shared" si="1"/>
        <v>3.45</v>
      </c>
      <c r="L13" s="56">
        <f t="shared" si="2"/>
        <v>1725</v>
      </c>
      <c r="M13" s="56">
        <f t="shared" si="3"/>
        <v>1725</v>
      </c>
      <c r="N13" s="24"/>
    </row>
    <row r="14" spans="1:14" x14ac:dyDescent="0.2">
      <c r="A14" s="66"/>
      <c r="B14" s="29">
        <f t="shared" si="6"/>
        <v>156</v>
      </c>
      <c r="C14" s="48">
        <v>4.07</v>
      </c>
      <c r="D14" s="58" t="s">
        <v>66</v>
      </c>
      <c r="E14" s="48">
        <f t="shared" si="4"/>
        <v>0</v>
      </c>
      <c r="F14" s="48">
        <f t="shared" si="5"/>
        <v>4.07</v>
      </c>
      <c r="G14" s="49">
        <v>4.07</v>
      </c>
      <c r="H14" s="59" t="s">
        <v>66</v>
      </c>
      <c r="I14" s="49">
        <f t="shared" si="0"/>
        <v>0</v>
      </c>
      <c r="J14" s="50">
        <f t="shared" si="1"/>
        <v>4.07</v>
      </c>
      <c r="L14" s="56">
        <f t="shared" si="2"/>
        <v>2035.0000000000002</v>
      </c>
      <c r="M14" s="56">
        <f t="shared" si="3"/>
        <v>2035.0000000000002</v>
      </c>
      <c r="N14" s="24"/>
    </row>
    <row r="15" spans="1:14" x14ac:dyDescent="0.2">
      <c r="A15" s="66"/>
      <c r="B15" s="29">
        <f t="shared" si="6"/>
        <v>158</v>
      </c>
      <c r="C15" s="48">
        <v>4.8</v>
      </c>
      <c r="D15" s="58" t="s">
        <v>66</v>
      </c>
      <c r="E15" s="48">
        <f t="shared" si="4"/>
        <v>0</v>
      </c>
      <c r="F15" s="48">
        <f t="shared" si="5"/>
        <v>4.8</v>
      </c>
      <c r="G15" s="49">
        <v>4.8</v>
      </c>
      <c r="H15" s="59" t="s">
        <v>66</v>
      </c>
      <c r="I15" s="49">
        <f t="shared" si="0"/>
        <v>0</v>
      </c>
      <c r="J15" s="50">
        <f t="shared" si="1"/>
        <v>4.8</v>
      </c>
      <c r="L15" s="56">
        <f t="shared" si="2"/>
        <v>2400</v>
      </c>
      <c r="M15" s="56">
        <f t="shared" si="3"/>
        <v>2400</v>
      </c>
      <c r="N15" s="24"/>
    </row>
    <row r="16" spans="1:14" x14ac:dyDescent="0.2">
      <c r="A16" s="66"/>
      <c r="B16" s="54">
        <f t="shared" si="6"/>
        <v>160</v>
      </c>
      <c r="C16" s="48">
        <v>5.65</v>
      </c>
      <c r="D16" s="58" t="s">
        <v>70</v>
      </c>
      <c r="E16" s="48">
        <f>MAX($B16-C$4,0)</f>
        <v>0</v>
      </c>
      <c r="F16" s="48">
        <f>C16-E16</f>
        <v>5.65</v>
      </c>
      <c r="G16" s="49">
        <v>5.57</v>
      </c>
      <c r="H16" s="59" t="s">
        <v>66</v>
      </c>
      <c r="I16" s="49">
        <f t="shared" si="0"/>
        <v>0</v>
      </c>
      <c r="J16" s="50">
        <f t="shared" si="1"/>
        <v>5.57</v>
      </c>
      <c r="L16" s="56">
        <f>C16*500</f>
        <v>2825</v>
      </c>
      <c r="M16" s="56">
        <f>G16*500</f>
        <v>2785</v>
      </c>
      <c r="N16" s="24"/>
    </row>
    <row r="17" spans="1:14" x14ac:dyDescent="0.2">
      <c r="A17" s="66"/>
      <c r="B17" s="54">
        <f t="shared" si="6"/>
        <v>162</v>
      </c>
      <c r="C17" s="48">
        <v>6.57</v>
      </c>
      <c r="D17" s="58" t="s">
        <v>88</v>
      </c>
      <c r="E17" s="48">
        <f>MAX($B17-C$4,0)</f>
        <v>0.93000000000000682</v>
      </c>
      <c r="F17" s="48">
        <f>C17-E17</f>
        <v>5.6399999999999935</v>
      </c>
      <c r="G17" s="49">
        <v>6.47</v>
      </c>
      <c r="H17" s="59" t="s">
        <v>88</v>
      </c>
      <c r="I17" s="49">
        <f t="shared" si="0"/>
        <v>0</v>
      </c>
      <c r="J17" s="50">
        <f t="shared" si="1"/>
        <v>6.47</v>
      </c>
      <c r="L17" s="56">
        <f t="shared" ref="L17:L18" si="7">C17*500</f>
        <v>3285</v>
      </c>
      <c r="M17" s="56">
        <f t="shared" ref="M17:M18" si="8">G17*500</f>
        <v>3235</v>
      </c>
      <c r="N17" s="24"/>
    </row>
    <row r="18" spans="1:14" ht="13.5" thickBot="1" x14ac:dyDescent="0.25">
      <c r="A18" s="68"/>
      <c r="B18" s="30">
        <f t="shared" si="6"/>
        <v>164</v>
      </c>
      <c r="C18" s="60">
        <v>7.62</v>
      </c>
      <c r="D18" s="33" t="s">
        <v>67</v>
      </c>
      <c r="E18" s="60">
        <f>MAX($B18-C$4,0)</f>
        <v>2.9300000000000068</v>
      </c>
      <c r="F18" s="60">
        <f>C18-E18</f>
        <v>4.6899999999999933</v>
      </c>
      <c r="G18" s="61">
        <v>7.42</v>
      </c>
      <c r="H18" s="45" t="s">
        <v>67</v>
      </c>
      <c r="I18" s="61">
        <f t="shared" si="0"/>
        <v>1.75</v>
      </c>
      <c r="J18" s="51">
        <f t="shared" si="1"/>
        <v>5.67</v>
      </c>
      <c r="L18" s="56">
        <f t="shared" si="7"/>
        <v>3810</v>
      </c>
      <c r="M18" s="56">
        <f t="shared" si="8"/>
        <v>3710</v>
      </c>
      <c r="N18" s="24"/>
    </row>
    <row r="19" spans="1:14" ht="13.5" thickBot="1" x14ac:dyDescent="0.25">
      <c r="A19" s="66"/>
      <c r="B19" s="19"/>
      <c r="C19" s="57"/>
      <c r="D19" s="57"/>
      <c r="E19" s="57"/>
      <c r="F19" s="57"/>
      <c r="G19" s="57"/>
      <c r="I19" s="57"/>
      <c r="N19" s="24"/>
    </row>
    <row r="20" spans="1:14" x14ac:dyDescent="0.2">
      <c r="A20" s="67"/>
      <c r="B20" s="31" t="s">
        <v>71</v>
      </c>
      <c r="C20" s="32"/>
      <c r="D20" s="32"/>
      <c r="E20" s="32"/>
      <c r="F20" s="32"/>
      <c r="G20" s="41"/>
      <c r="H20" s="41"/>
      <c r="I20" s="42"/>
      <c r="J20" s="43"/>
      <c r="N20" s="24"/>
    </row>
    <row r="21" spans="1:14" x14ac:dyDescent="0.2">
      <c r="A21" s="66"/>
      <c r="B21" s="23" t="s">
        <v>64</v>
      </c>
      <c r="C21" s="112" t="s">
        <v>65</v>
      </c>
      <c r="D21" s="112"/>
      <c r="E21" s="58" t="s">
        <v>68</v>
      </c>
      <c r="F21" s="58" t="s">
        <v>69</v>
      </c>
      <c r="G21" s="113" t="s">
        <v>65</v>
      </c>
      <c r="H21" s="113"/>
      <c r="I21" s="59" t="s">
        <v>68</v>
      </c>
      <c r="J21" s="44" t="s">
        <v>69</v>
      </c>
      <c r="N21" s="24"/>
    </row>
    <row r="22" spans="1:14" x14ac:dyDescent="0.2">
      <c r="A22" s="66"/>
      <c r="B22" s="29">
        <v>158</v>
      </c>
      <c r="C22" s="48">
        <v>7.87</v>
      </c>
      <c r="D22" s="58" t="s">
        <v>67</v>
      </c>
      <c r="E22" s="48">
        <f t="shared" ref="E22:E30" si="9">MAX(C$4-$B22,0)</f>
        <v>3.0699999999999932</v>
      </c>
      <c r="F22" s="48">
        <f>C22-E22</f>
        <v>4.8000000000000069</v>
      </c>
      <c r="G22" s="49">
        <v>9.0500000000000007</v>
      </c>
      <c r="H22" s="59" t="s">
        <v>67</v>
      </c>
      <c r="I22" s="49">
        <f>MAX(G$4-$B22,0)</f>
        <v>4.25</v>
      </c>
      <c r="J22" s="50">
        <f>G22-I22</f>
        <v>4.8000000000000007</v>
      </c>
      <c r="L22" s="56">
        <f t="shared" ref="L22:L29" si="10">C22*500</f>
        <v>3935</v>
      </c>
      <c r="M22" s="56">
        <f t="shared" ref="M22:M29" si="11">G22*500</f>
        <v>4525</v>
      </c>
      <c r="N22" s="24"/>
    </row>
    <row r="23" spans="1:14" x14ac:dyDescent="0.2">
      <c r="A23" s="66"/>
      <c r="B23" s="54">
        <f>B22+2</f>
        <v>160</v>
      </c>
      <c r="C23" s="48">
        <v>6.72</v>
      </c>
      <c r="D23" s="58" t="s">
        <v>88</v>
      </c>
      <c r="E23" s="48">
        <f t="shared" si="9"/>
        <v>1.0699999999999932</v>
      </c>
      <c r="F23" s="48">
        <f t="shared" ref="F23:F30" si="12">C23-E23</f>
        <v>5.6500000000000066</v>
      </c>
      <c r="G23" s="49">
        <v>7.82</v>
      </c>
      <c r="H23" s="59" t="s">
        <v>67</v>
      </c>
      <c r="I23" s="49">
        <f>MAX(G$4-$B23,0)</f>
        <v>2.25</v>
      </c>
      <c r="J23" s="50">
        <f>G23-I23</f>
        <v>5.57</v>
      </c>
      <c r="L23" s="56">
        <f t="shared" si="10"/>
        <v>3360</v>
      </c>
      <c r="M23" s="56">
        <f t="shared" si="11"/>
        <v>3910</v>
      </c>
      <c r="N23" s="24"/>
    </row>
    <row r="24" spans="1:14" x14ac:dyDescent="0.2">
      <c r="A24" s="66"/>
      <c r="B24" s="54">
        <f t="shared" ref="B24:B32" si="13">B23+2</f>
        <v>162</v>
      </c>
      <c r="C24" s="48">
        <v>5.65</v>
      </c>
      <c r="D24" s="58" t="s">
        <v>70</v>
      </c>
      <c r="E24" s="48">
        <f t="shared" si="9"/>
        <v>0</v>
      </c>
      <c r="F24" s="48">
        <f t="shared" si="12"/>
        <v>5.65</v>
      </c>
      <c r="G24" s="49">
        <v>6.72</v>
      </c>
      <c r="H24" s="59" t="s">
        <v>88</v>
      </c>
      <c r="I24" s="49">
        <f>MAX(G$4-$B24,0)</f>
        <v>0.25</v>
      </c>
      <c r="J24" s="50">
        <f>G24-I24</f>
        <v>6.47</v>
      </c>
      <c r="L24" s="56">
        <f t="shared" si="10"/>
        <v>2825</v>
      </c>
      <c r="M24" s="56">
        <f t="shared" si="11"/>
        <v>3360</v>
      </c>
      <c r="N24" s="24"/>
    </row>
    <row r="25" spans="1:14" x14ac:dyDescent="0.2">
      <c r="A25" s="68"/>
      <c r="B25" s="29">
        <f t="shared" si="13"/>
        <v>164</v>
      </c>
      <c r="C25" s="48">
        <v>4.7</v>
      </c>
      <c r="D25" s="58" t="s">
        <v>66</v>
      </c>
      <c r="E25" s="48">
        <f t="shared" si="9"/>
        <v>0</v>
      </c>
      <c r="F25" s="48">
        <f t="shared" si="12"/>
        <v>4.7</v>
      </c>
      <c r="G25" s="49">
        <v>5.67</v>
      </c>
      <c r="H25" s="59" t="s">
        <v>66</v>
      </c>
      <c r="I25" s="49">
        <f>MAX(G$4-$B25,0)</f>
        <v>0</v>
      </c>
      <c r="J25" s="50">
        <f>G25-I25</f>
        <v>5.67</v>
      </c>
      <c r="L25" s="56">
        <f t="shared" si="10"/>
        <v>2350</v>
      </c>
      <c r="M25" s="56">
        <f t="shared" si="11"/>
        <v>2835</v>
      </c>
      <c r="N25" s="24"/>
    </row>
    <row r="26" spans="1:14" x14ac:dyDescent="0.2">
      <c r="A26" s="66"/>
      <c r="B26" s="29">
        <f t="shared" si="13"/>
        <v>166</v>
      </c>
      <c r="C26" s="48">
        <v>3.87</v>
      </c>
      <c r="D26" s="58" t="s">
        <v>66</v>
      </c>
      <c r="E26" s="48">
        <f t="shared" si="9"/>
        <v>0</v>
      </c>
      <c r="F26" s="48">
        <f t="shared" si="12"/>
        <v>3.87</v>
      </c>
      <c r="G26" s="49">
        <v>4.75</v>
      </c>
      <c r="H26" s="59" t="s">
        <v>66</v>
      </c>
      <c r="I26" s="49">
        <f t="shared" ref="I26:I31" si="14">MAX(G$4-$B26,0)</f>
        <v>0</v>
      </c>
      <c r="J26" s="50">
        <f t="shared" ref="J26:J31" si="15">G26-I26</f>
        <v>4.75</v>
      </c>
      <c r="L26" s="56">
        <f t="shared" si="10"/>
        <v>1935</v>
      </c>
      <c r="M26" s="56">
        <f t="shared" si="11"/>
        <v>2375</v>
      </c>
      <c r="N26" s="24"/>
    </row>
    <row r="27" spans="1:14" x14ac:dyDescent="0.2">
      <c r="A27" s="67"/>
      <c r="B27" s="29">
        <f t="shared" si="13"/>
        <v>168</v>
      </c>
      <c r="C27" s="48">
        <v>3.15</v>
      </c>
      <c r="D27" s="58" t="s">
        <v>66</v>
      </c>
      <c r="E27" s="48">
        <f t="shared" si="9"/>
        <v>0</v>
      </c>
      <c r="F27" s="48">
        <f t="shared" si="12"/>
        <v>3.15</v>
      </c>
      <c r="G27" s="49">
        <v>3.95</v>
      </c>
      <c r="H27" s="59" t="s">
        <v>66</v>
      </c>
      <c r="I27" s="49">
        <f t="shared" si="14"/>
        <v>0</v>
      </c>
      <c r="J27" s="50">
        <f t="shared" si="15"/>
        <v>3.95</v>
      </c>
      <c r="L27" s="56">
        <f t="shared" si="10"/>
        <v>1575</v>
      </c>
      <c r="M27" s="56">
        <f t="shared" si="11"/>
        <v>1975</v>
      </c>
      <c r="N27" s="24"/>
    </row>
    <row r="28" spans="1:14" x14ac:dyDescent="0.2">
      <c r="A28" s="66"/>
      <c r="B28" s="29">
        <f t="shared" si="13"/>
        <v>170</v>
      </c>
      <c r="C28" s="48">
        <v>2.52</v>
      </c>
      <c r="D28" s="58" t="s">
        <v>66</v>
      </c>
      <c r="E28" s="48">
        <f t="shared" si="9"/>
        <v>0</v>
      </c>
      <c r="F28" s="48">
        <f t="shared" si="12"/>
        <v>2.52</v>
      </c>
      <c r="G28" s="49">
        <v>3.25</v>
      </c>
      <c r="H28" s="59" t="s">
        <v>66</v>
      </c>
      <c r="I28" s="49">
        <f t="shared" si="14"/>
        <v>0</v>
      </c>
      <c r="J28" s="50">
        <f t="shared" si="15"/>
        <v>3.25</v>
      </c>
      <c r="L28" s="56">
        <f t="shared" si="10"/>
        <v>1260</v>
      </c>
      <c r="M28" s="56">
        <f t="shared" si="11"/>
        <v>1625</v>
      </c>
      <c r="N28" s="24"/>
    </row>
    <row r="29" spans="1:14" x14ac:dyDescent="0.2">
      <c r="A29" s="66"/>
      <c r="B29" s="29">
        <f t="shared" si="13"/>
        <v>172</v>
      </c>
      <c r="C29" s="48">
        <v>2.0499999999999998</v>
      </c>
      <c r="D29" s="58" t="s">
        <v>66</v>
      </c>
      <c r="E29" s="48">
        <f t="shared" si="9"/>
        <v>0</v>
      </c>
      <c r="F29" s="48">
        <f t="shared" si="12"/>
        <v>2.0499999999999998</v>
      </c>
      <c r="G29" s="49">
        <v>2.67</v>
      </c>
      <c r="H29" s="59" t="s">
        <v>66</v>
      </c>
      <c r="I29" s="49">
        <f t="shared" si="14"/>
        <v>0</v>
      </c>
      <c r="J29" s="50">
        <f t="shared" si="15"/>
        <v>2.67</v>
      </c>
      <c r="L29" s="56">
        <f t="shared" si="10"/>
        <v>1025</v>
      </c>
      <c r="M29" s="56">
        <f t="shared" si="11"/>
        <v>1335</v>
      </c>
      <c r="N29" s="24"/>
    </row>
    <row r="30" spans="1:14" x14ac:dyDescent="0.2">
      <c r="A30" s="66"/>
      <c r="B30" s="29">
        <f t="shared" si="13"/>
        <v>174</v>
      </c>
      <c r="C30" s="48">
        <v>1.62</v>
      </c>
      <c r="D30" s="58" t="s">
        <v>66</v>
      </c>
      <c r="E30" s="48">
        <f t="shared" si="9"/>
        <v>0</v>
      </c>
      <c r="F30" s="48">
        <f t="shared" si="12"/>
        <v>1.62</v>
      </c>
      <c r="G30" s="49">
        <v>2.2000000000000002</v>
      </c>
      <c r="H30" s="59" t="s">
        <v>66</v>
      </c>
      <c r="I30" s="49">
        <f t="shared" si="14"/>
        <v>0</v>
      </c>
      <c r="J30" s="50">
        <f t="shared" si="15"/>
        <v>2.2000000000000002</v>
      </c>
      <c r="L30" s="56">
        <f>C30*500</f>
        <v>810</v>
      </c>
      <c r="M30" s="56">
        <f>G30*500</f>
        <v>1100</v>
      </c>
      <c r="N30" s="24"/>
    </row>
    <row r="31" spans="1:14" x14ac:dyDescent="0.2">
      <c r="A31" s="66"/>
      <c r="B31" s="29">
        <f t="shared" si="13"/>
        <v>176</v>
      </c>
      <c r="C31" s="48">
        <v>1.3</v>
      </c>
      <c r="D31" s="58" t="s">
        <v>66</v>
      </c>
      <c r="E31" s="48">
        <f>MAX(C$4-$B31,0)</f>
        <v>0</v>
      </c>
      <c r="F31" s="48">
        <f>C31-E31</f>
        <v>1.3</v>
      </c>
      <c r="G31" s="49">
        <v>1.8</v>
      </c>
      <c r="H31" s="59" t="s">
        <v>66</v>
      </c>
      <c r="I31" s="49">
        <f t="shared" si="14"/>
        <v>0</v>
      </c>
      <c r="J31" s="50">
        <f t="shared" si="15"/>
        <v>1.8</v>
      </c>
      <c r="L31" s="56">
        <f t="shared" ref="L31:L32" si="16">C31*500</f>
        <v>650</v>
      </c>
      <c r="M31" s="56">
        <f t="shared" ref="M31:M32" si="17">G31*500</f>
        <v>900</v>
      </c>
      <c r="N31" s="24"/>
    </row>
    <row r="32" spans="1:14" ht="13.5" thickBot="1" x14ac:dyDescent="0.25">
      <c r="A32" s="66"/>
      <c r="B32" s="30">
        <f t="shared" si="13"/>
        <v>178</v>
      </c>
      <c r="C32" s="60">
        <v>1.05</v>
      </c>
      <c r="D32" s="33" t="s">
        <v>66</v>
      </c>
      <c r="E32" s="60">
        <f>MAX(C$4-$B32,0)</f>
        <v>0</v>
      </c>
      <c r="F32" s="60">
        <f>C32-E32</f>
        <v>1.05</v>
      </c>
      <c r="G32" s="61">
        <v>1.45</v>
      </c>
      <c r="H32" s="45" t="s">
        <v>66</v>
      </c>
      <c r="I32" s="61">
        <f>MAX(G$4-$B32,0)</f>
        <v>0</v>
      </c>
      <c r="J32" s="51">
        <f>G32-I32</f>
        <v>1.45</v>
      </c>
      <c r="L32" s="56">
        <f t="shared" si="16"/>
        <v>525</v>
      </c>
      <c r="M32" s="56">
        <f t="shared" si="17"/>
        <v>725</v>
      </c>
      <c r="N32" s="24"/>
    </row>
    <row r="33" spans="1:14" ht="13.5" thickBot="1" x14ac:dyDescent="0.25">
      <c r="A33" s="69"/>
      <c r="B33" s="70"/>
      <c r="C33" s="70"/>
      <c r="D33" s="70"/>
      <c r="E33" s="70"/>
      <c r="F33" s="70"/>
      <c r="G33" s="71"/>
      <c r="H33" s="70"/>
      <c r="I33" s="70"/>
      <c r="J33" s="70"/>
      <c r="K33" s="70"/>
      <c r="L33" s="70"/>
      <c r="M33" s="70"/>
      <c r="N33" s="28"/>
    </row>
    <row r="35" spans="1:14" x14ac:dyDescent="0.2">
      <c r="C35" s="104"/>
      <c r="D35" s="104"/>
      <c r="G35" s="104"/>
      <c r="H35" s="104"/>
    </row>
  </sheetData>
  <mergeCells count="11">
    <mergeCell ref="C35:D35"/>
    <mergeCell ref="G35:H35"/>
    <mergeCell ref="B2:J2"/>
    <mergeCell ref="C3:D3"/>
    <mergeCell ref="G3:H3"/>
    <mergeCell ref="C21:D21"/>
    <mergeCell ref="G21:H21"/>
    <mergeCell ref="C4:D4"/>
    <mergeCell ref="G4:H4"/>
    <mergeCell ref="C7:D7"/>
    <mergeCell ref="G7:H7"/>
  </mergeCells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130" zoomScaleNormal="130" workbookViewId="0">
      <selection activeCell="I4" sqref="I4"/>
    </sheetView>
  </sheetViews>
  <sheetFormatPr defaultRowHeight="12.75" x14ac:dyDescent="0.2"/>
  <cols>
    <col min="1" max="2" width="12.7109375" style="2" customWidth="1"/>
    <col min="3" max="3" width="3.7109375" style="2" customWidth="1"/>
    <col min="4" max="4" width="15.7109375" style="2" customWidth="1"/>
    <col min="5" max="7" width="12.7109375" style="2" customWidth="1"/>
    <col min="8" max="8" width="4.7109375" style="2" customWidth="1"/>
    <col min="9" max="16384" width="9.140625" style="2"/>
  </cols>
  <sheetData>
    <row r="1" spans="1:11" ht="12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x14ac:dyDescent="0.2">
      <c r="A2" s="100" t="s">
        <v>36</v>
      </c>
      <c r="B2" s="76"/>
      <c r="C2" s="76"/>
      <c r="D2" s="77" t="s">
        <v>13</v>
      </c>
      <c r="E2" s="76"/>
      <c r="F2" s="76"/>
      <c r="G2" s="76"/>
      <c r="H2" s="76"/>
      <c r="I2" s="116" t="s">
        <v>45</v>
      </c>
      <c r="J2" s="116"/>
      <c r="K2" s="78"/>
    </row>
    <row r="3" spans="1:11" x14ac:dyDescent="0.2">
      <c r="A3" s="79" t="s">
        <v>12</v>
      </c>
      <c r="B3" s="80" t="s">
        <v>18</v>
      </c>
      <c r="C3" s="76"/>
      <c r="D3" s="76"/>
      <c r="E3" s="98" t="s">
        <v>14</v>
      </c>
      <c r="F3" s="98" t="s">
        <v>15</v>
      </c>
      <c r="G3" s="98" t="s">
        <v>16</v>
      </c>
      <c r="H3" s="76"/>
      <c r="I3" s="82" t="s">
        <v>43</v>
      </c>
      <c r="J3" s="98" t="s">
        <v>44</v>
      </c>
      <c r="K3" s="78"/>
    </row>
    <row r="4" spans="1:11" x14ac:dyDescent="0.2">
      <c r="A4" s="83">
        <v>162</v>
      </c>
      <c r="B4" s="84">
        <v>6.47</v>
      </c>
      <c r="C4" s="76"/>
      <c r="D4" s="76" t="s">
        <v>20</v>
      </c>
      <c r="E4" s="85">
        <f>$A4+$I$4</f>
        <v>182</v>
      </c>
      <c r="F4" s="85">
        <f>$A4-$J$4</f>
        <v>142</v>
      </c>
      <c r="G4" s="85">
        <f>$A4</f>
        <v>162</v>
      </c>
      <c r="H4" s="76"/>
      <c r="I4" s="86">
        <v>20</v>
      </c>
      <c r="J4" s="17">
        <f>I4</f>
        <v>20</v>
      </c>
      <c r="K4" s="78"/>
    </row>
    <row r="5" spans="1:11" x14ac:dyDescent="0.2">
      <c r="A5" s="79"/>
      <c r="B5" s="76"/>
      <c r="C5" s="76"/>
      <c r="D5" s="76" t="s">
        <v>24</v>
      </c>
      <c r="E5" s="85">
        <f>-$B4</f>
        <v>-6.47</v>
      </c>
      <c r="F5" s="85">
        <f>-$B4</f>
        <v>-6.47</v>
      </c>
      <c r="G5" s="85">
        <f>-$B4</f>
        <v>-6.47</v>
      </c>
      <c r="H5" s="76"/>
      <c r="I5" s="76"/>
      <c r="J5" s="76"/>
      <c r="K5" s="78"/>
    </row>
    <row r="6" spans="1:11" x14ac:dyDescent="0.2">
      <c r="A6" s="79"/>
      <c r="B6" s="76"/>
      <c r="C6" s="76"/>
      <c r="D6" s="76" t="s">
        <v>22</v>
      </c>
      <c r="E6" s="85">
        <f>IF(E4&lt;$A4,$A4-E4,0)</f>
        <v>0</v>
      </c>
      <c r="F6" s="85">
        <f>IF(F4&lt;$A4,$A4-F4,0)</f>
        <v>20</v>
      </c>
      <c r="G6" s="85">
        <f>IF(G4&lt;$A4,$A4-G4,0)</f>
        <v>0</v>
      </c>
      <c r="H6" s="76"/>
      <c r="I6" s="76"/>
      <c r="J6" s="76"/>
      <c r="K6" s="78"/>
    </row>
    <row r="7" spans="1:11" x14ac:dyDescent="0.2">
      <c r="A7" s="79"/>
      <c r="B7" s="76"/>
      <c r="C7" s="76"/>
      <c r="D7" s="101" t="s">
        <v>23</v>
      </c>
      <c r="E7" s="88">
        <f>SUM(E5:E6)</f>
        <v>-6.47</v>
      </c>
      <c r="F7" s="88">
        <f>SUM(F5:F6)</f>
        <v>13.530000000000001</v>
      </c>
      <c r="G7" s="88">
        <f>SUM(G5:G6)</f>
        <v>-6.47</v>
      </c>
      <c r="H7" s="76"/>
      <c r="I7" s="76"/>
      <c r="J7" s="76"/>
      <c r="K7" s="78"/>
    </row>
    <row r="8" spans="1:11" x14ac:dyDescent="0.2">
      <c r="A8" s="79"/>
      <c r="B8" s="76"/>
      <c r="C8" s="76"/>
      <c r="D8" s="101" t="s">
        <v>72</v>
      </c>
      <c r="E8" s="87">
        <f>E7*500</f>
        <v>-3235</v>
      </c>
      <c r="F8" s="87">
        <f>F7*500</f>
        <v>6765.0000000000009</v>
      </c>
      <c r="G8" s="87">
        <f>G7*500</f>
        <v>-3235</v>
      </c>
      <c r="H8" s="76"/>
      <c r="I8" s="76"/>
      <c r="J8" s="76"/>
      <c r="K8" s="78"/>
    </row>
    <row r="9" spans="1:11" x14ac:dyDescent="0.2">
      <c r="A9" s="100" t="s">
        <v>37</v>
      </c>
      <c r="B9" s="76"/>
      <c r="C9" s="76"/>
      <c r="D9" s="77" t="s">
        <v>13</v>
      </c>
      <c r="E9" s="77"/>
      <c r="F9" s="77"/>
      <c r="G9" s="77"/>
      <c r="H9" s="76"/>
      <c r="I9" s="76"/>
      <c r="J9" s="76"/>
      <c r="K9" s="78"/>
    </row>
    <row r="10" spans="1:11" x14ac:dyDescent="0.2">
      <c r="A10" s="79" t="s">
        <v>12</v>
      </c>
      <c r="B10" s="94" t="s">
        <v>39</v>
      </c>
      <c r="C10" s="76"/>
      <c r="D10" s="77"/>
      <c r="E10" s="98" t="s">
        <v>14</v>
      </c>
      <c r="F10" s="98" t="s">
        <v>15</v>
      </c>
      <c r="G10" s="98" t="s">
        <v>16</v>
      </c>
      <c r="H10" s="76"/>
      <c r="I10" s="76"/>
      <c r="J10" s="76"/>
      <c r="K10" s="78"/>
    </row>
    <row r="11" spans="1:11" x14ac:dyDescent="0.2">
      <c r="A11" s="102">
        <f>A4</f>
        <v>162</v>
      </c>
      <c r="B11" s="85">
        <f>B4</f>
        <v>6.47</v>
      </c>
      <c r="C11" s="76"/>
      <c r="D11" s="76" t="s">
        <v>20</v>
      </c>
      <c r="E11" s="85">
        <f>$A11+$I$4</f>
        <v>182</v>
      </c>
      <c r="F11" s="85">
        <f>$A11-$J$4</f>
        <v>142</v>
      </c>
      <c r="G11" s="85">
        <f>$A11</f>
        <v>162</v>
      </c>
      <c r="H11" s="76"/>
      <c r="I11" s="76"/>
      <c r="J11" s="76"/>
      <c r="K11" s="78"/>
    </row>
    <row r="12" spans="1:11" x14ac:dyDescent="0.2">
      <c r="A12" s="79"/>
      <c r="B12" s="76"/>
      <c r="C12" s="76"/>
      <c r="D12" s="95" t="s">
        <v>40</v>
      </c>
      <c r="E12" s="85">
        <f>$B11</f>
        <v>6.47</v>
      </c>
      <c r="F12" s="85">
        <f>$B11</f>
        <v>6.47</v>
      </c>
      <c r="G12" s="85">
        <f>$B11</f>
        <v>6.47</v>
      </c>
      <c r="H12" s="76"/>
      <c r="I12" s="76"/>
      <c r="J12" s="76"/>
      <c r="K12" s="78"/>
    </row>
    <row r="13" spans="1:11" x14ac:dyDescent="0.2">
      <c r="A13" s="79"/>
      <c r="B13" s="76"/>
      <c r="C13" s="76"/>
      <c r="D13" s="95" t="s">
        <v>52</v>
      </c>
      <c r="E13" s="85">
        <f>IF(E11&lt;$A11,$A11-E11,0)</f>
        <v>0</v>
      </c>
      <c r="F13" s="85">
        <f>IF(F11&lt;$A11,$A11-F11,0)</f>
        <v>20</v>
      </c>
      <c r="G13" s="85">
        <f>IF(G11&lt;$A11,$A11-G11,0)</f>
        <v>0</v>
      </c>
      <c r="H13" s="76"/>
      <c r="I13" s="76"/>
      <c r="J13" s="76"/>
      <c r="K13" s="78"/>
    </row>
    <row r="14" spans="1:11" x14ac:dyDescent="0.2">
      <c r="A14" s="79"/>
      <c r="B14" s="76"/>
      <c r="C14" s="76"/>
      <c r="D14" s="103" t="s">
        <v>38</v>
      </c>
      <c r="E14" s="88">
        <f>E12-E13</f>
        <v>6.47</v>
      </c>
      <c r="F14" s="88">
        <f>F12-F13</f>
        <v>-13.530000000000001</v>
      </c>
      <c r="G14" s="88">
        <f>G12-G13</f>
        <v>6.47</v>
      </c>
      <c r="H14" s="76"/>
      <c r="I14" s="76"/>
      <c r="J14" s="76"/>
      <c r="K14" s="78"/>
    </row>
    <row r="15" spans="1:11" x14ac:dyDescent="0.2">
      <c r="A15" s="79"/>
      <c r="B15" s="76"/>
      <c r="C15" s="76"/>
      <c r="D15" s="101" t="s">
        <v>72</v>
      </c>
      <c r="E15" s="87">
        <f>E14*500</f>
        <v>3235</v>
      </c>
      <c r="F15" s="87">
        <f>F14*500</f>
        <v>-6765.0000000000009</v>
      </c>
      <c r="G15" s="87">
        <f>G14*500</f>
        <v>3235</v>
      </c>
      <c r="H15" s="76"/>
      <c r="I15" s="76"/>
      <c r="J15" s="76"/>
      <c r="K15" s="78"/>
    </row>
    <row r="16" spans="1:1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8"/>
    </row>
    <row r="17" spans="1:11" x14ac:dyDescent="0.2">
      <c r="A17" s="75" t="s">
        <v>41</v>
      </c>
      <c r="B17" s="76"/>
      <c r="C17" s="76"/>
      <c r="D17" s="77" t="s">
        <v>13</v>
      </c>
      <c r="E17" s="76"/>
      <c r="F17" s="76"/>
      <c r="G17" s="76"/>
      <c r="H17" s="76"/>
      <c r="I17" s="76"/>
      <c r="J17" s="76"/>
      <c r="K17" s="78"/>
    </row>
    <row r="18" spans="1:11" x14ac:dyDescent="0.2">
      <c r="A18" s="79" t="s">
        <v>12</v>
      </c>
      <c r="B18" s="80" t="s">
        <v>18</v>
      </c>
      <c r="C18" s="76"/>
      <c r="D18" s="76"/>
      <c r="E18" s="98" t="s">
        <v>14</v>
      </c>
      <c r="F18" s="98" t="s">
        <v>15</v>
      </c>
      <c r="G18" s="98" t="s">
        <v>16</v>
      </c>
      <c r="H18" s="76"/>
      <c r="I18" s="98"/>
      <c r="J18" s="76"/>
      <c r="K18" s="78"/>
    </row>
    <row r="19" spans="1:11" x14ac:dyDescent="0.2">
      <c r="A19" s="83">
        <v>162</v>
      </c>
      <c r="B19" s="84">
        <v>6.72</v>
      </c>
      <c r="C19" s="76"/>
      <c r="D19" s="76" t="s">
        <v>20</v>
      </c>
      <c r="E19" s="85">
        <f>$A19+$I$4</f>
        <v>182</v>
      </c>
      <c r="F19" s="85">
        <f>$A19-$J$4</f>
        <v>142</v>
      </c>
      <c r="G19" s="85">
        <f>$A19</f>
        <v>162</v>
      </c>
      <c r="H19" s="76"/>
      <c r="I19" s="76"/>
      <c r="J19" s="76"/>
      <c r="K19" s="78"/>
    </row>
    <row r="20" spans="1:11" x14ac:dyDescent="0.2">
      <c r="A20" s="79"/>
      <c r="B20" s="76"/>
      <c r="C20" s="76"/>
      <c r="D20" s="76" t="s">
        <v>24</v>
      </c>
      <c r="E20" s="85">
        <f>-$B19</f>
        <v>-6.72</v>
      </c>
      <c r="F20" s="85">
        <f>-$B19</f>
        <v>-6.72</v>
      </c>
      <c r="G20" s="85">
        <f>-$B19</f>
        <v>-6.72</v>
      </c>
      <c r="H20" s="76"/>
      <c r="I20" s="76"/>
      <c r="J20" s="76"/>
      <c r="K20" s="78"/>
    </row>
    <row r="21" spans="1:11" x14ac:dyDescent="0.2">
      <c r="A21" s="79"/>
      <c r="B21" s="76"/>
      <c r="C21" s="76"/>
      <c r="D21" s="76" t="s">
        <v>22</v>
      </c>
      <c r="E21" s="85">
        <f>IF(E19&gt;$A19,E19-$A19,0)</f>
        <v>20</v>
      </c>
      <c r="F21" s="85">
        <f>IF(F19&gt;$A19,F19-$A19,0)</f>
        <v>0</v>
      </c>
      <c r="G21" s="85">
        <f>IF(G19&gt;$A19,G19-$A19,0)</f>
        <v>0</v>
      </c>
      <c r="H21" s="76"/>
      <c r="I21" s="76"/>
      <c r="J21" s="76"/>
      <c r="K21" s="78"/>
    </row>
    <row r="22" spans="1:11" x14ac:dyDescent="0.2">
      <c r="A22" s="79"/>
      <c r="B22" s="76"/>
      <c r="C22" s="76"/>
      <c r="D22" s="103" t="s">
        <v>38</v>
      </c>
      <c r="E22" s="88">
        <f>SUM(E20:E21)</f>
        <v>13.280000000000001</v>
      </c>
      <c r="F22" s="88">
        <f>SUM(F20:F21)</f>
        <v>-6.72</v>
      </c>
      <c r="G22" s="88">
        <f>SUM(G20:G21)</f>
        <v>-6.72</v>
      </c>
      <c r="H22" s="76"/>
      <c r="I22" s="76"/>
      <c r="J22" s="76"/>
      <c r="K22" s="78"/>
    </row>
    <row r="23" spans="1:11" x14ac:dyDescent="0.2">
      <c r="A23" s="79"/>
      <c r="B23" s="76"/>
      <c r="C23" s="76"/>
      <c r="D23" s="101" t="s">
        <v>72</v>
      </c>
      <c r="E23" s="87">
        <f>E22*500</f>
        <v>6640.0000000000009</v>
      </c>
      <c r="F23" s="87">
        <f>F22*500</f>
        <v>-3360</v>
      </c>
      <c r="G23" s="87">
        <f>G22*500</f>
        <v>-3360</v>
      </c>
      <c r="H23" s="76"/>
      <c r="I23" s="76"/>
      <c r="J23" s="76"/>
      <c r="K23" s="78"/>
    </row>
    <row r="24" spans="1:11" x14ac:dyDescent="0.2">
      <c r="A24" s="75" t="s">
        <v>42</v>
      </c>
      <c r="B24" s="76"/>
      <c r="C24" s="76"/>
      <c r="D24" s="77" t="s">
        <v>13</v>
      </c>
      <c r="E24" s="77"/>
      <c r="F24" s="77"/>
      <c r="G24" s="77"/>
      <c r="H24" s="76"/>
      <c r="I24" s="76"/>
      <c r="J24" s="76"/>
      <c r="K24" s="78"/>
    </row>
    <row r="25" spans="1:11" x14ac:dyDescent="0.2">
      <c r="A25" s="79" t="s">
        <v>12</v>
      </c>
      <c r="B25" s="94" t="s">
        <v>39</v>
      </c>
      <c r="C25" s="76"/>
      <c r="D25" s="77"/>
      <c r="E25" s="98" t="s">
        <v>14</v>
      </c>
      <c r="F25" s="98" t="s">
        <v>15</v>
      </c>
      <c r="G25" s="98" t="s">
        <v>16</v>
      </c>
      <c r="H25" s="76"/>
      <c r="I25" s="76"/>
      <c r="J25" s="76"/>
      <c r="K25" s="78"/>
    </row>
    <row r="26" spans="1:11" x14ac:dyDescent="0.2">
      <c r="A26" s="102">
        <f>A19</f>
        <v>162</v>
      </c>
      <c r="B26" s="85">
        <f>B19</f>
        <v>6.72</v>
      </c>
      <c r="C26" s="76"/>
      <c r="D26" s="76" t="s">
        <v>20</v>
      </c>
      <c r="E26" s="85">
        <f>$A26+$I$4</f>
        <v>182</v>
      </c>
      <c r="F26" s="85">
        <f>$A26-$J$4</f>
        <v>142</v>
      </c>
      <c r="G26" s="85">
        <f>$A26</f>
        <v>162</v>
      </c>
      <c r="H26" s="76"/>
      <c r="I26" s="76"/>
      <c r="J26" s="76"/>
      <c r="K26" s="78"/>
    </row>
    <row r="27" spans="1:11" x14ac:dyDescent="0.2">
      <c r="A27" s="79"/>
      <c r="B27" s="76"/>
      <c r="C27" s="76"/>
      <c r="D27" s="95" t="s">
        <v>40</v>
      </c>
      <c r="E27" s="85">
        <f>$B26</f>
        <v>6.72</v>
      </c>
      <c r="F27" s="85">
        <f>$B26</f>
        <v>6.72</v>
      </c>
      <c r="G27" s="85">
        <f>$B26</f>
        <v>6.72</v>
      </c>
      <c r="H27" s="76"/>
      <c r="I27" s="76"/>
      <c r="J27" s="76"/>
      <c r="K27" s="78"/>
    </row>
    <row r="28" spans="1:11" x14ac:dyDescent="0.2">
      <c r="A28" s="79"/>
      <c r="B28" s="76"/>
      <c r="C28" s="76"/>
      <c r="D28" s="95" t="s">
        <v>52</v>
      </c>
      <c r="E28" s="85">
        <f>IF(E26&gt;$A26,E26-$A26,0)</f>
        <v>20</v>
      </c>
      <c r="F28" s="85">
        <f>IF(F26&gt;$A26,F26-$A26,0)</f>
        <v>0</v>
      </c>
      <c r="G28" s="85">
        <f>IF(G26&gt;$A26,G26-$A26,0)</f>
        <v>0</v>
      </c>
      <c r="H28" s="76"/>
      <c r="I28" s="76"/>
      <c r="J28" s="76"/>
      <c r="K28" s="78"/>
    </row>
    <row r="29" spans="1:11" x14ac:dyDescent="0.2">
      <c r="A29" s="79"/>
      <c r="B29" s="76"/>
      <c r="C29" s="76"/>
      <c r="D29" s="103" t="s">
        <v>38</v>
      </c>
      <c r="E29" s="88">
        <f>E27-E28</f>
        <v>-13.280000000000001</v>
      </c>
      <c r="F29" s="88">
        <f>F27-F28</f>
        <v>6.72</v>
      </c>
      <c r="G29" s="88">
        <f>G27-G28</f>
        <v>6.72</v>
      </c>
      <c r="H29" s="76"/>
      <c r="I29" s="76"/>
      <c r="J29" s="76"/>
      <c r="K29" s="78"/>
    </row>
    <row r="30" spans="1:11" x14ac:dyDescent="0.2">
      <c r="A30" s="79"/>
      <c r="B30" s="76"/>
      <c r="C30" s="76"/>
      <c r="D30" s="101" t="s">
        <v>72</v>
      </c>
      <c r="E30" s="87">
        <f>E29*500</f>
        <v>-6640.0000000000009</v>
      </c>
      <c r="F30" s="87">
        <f>F29*500</f>
        <v>3360</v>
      </c>
      <c r="G30" s="87">
        <f>G29*500</f>
        <v>3360</v>
      </c>
      <c r="H30" s="76"/>
      <c r="I30" s="76"/>
      <c r="J30" s="76"/>
      <c r="K30" s="78"/>
    </row>
    <row r="31" spans="1:11" x14ac:dyDescent="0.2">
      <c r="A31" s="79"/>
      <c r="B31" s="76"/>
      <c r="C31" s="76"/>
      <c r="D31" s="76"/>
      <c r="E31" s="76"/>
      <c r="F31" s="76"/>
      <c r="G31" s="76"/>
      <c r="H31" s="76"/>
      <c r="I31" s="76"/>
      <c r="J31" s="76"/>
      <c r="K31" s="78"/>
    </row>
    <row r="32" spans="1:11" ht="13.5" thickBo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2"/>
    </row>
  </sheetData>
  <mergeCells count="1">
    <mergeCell ref="I2:J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4"/>
  <sheetViews>
    <sheetView zoomScaleNormal="100" workbookViewId="0">
      <selection activeCell="B24" sqref="B24"/>
    </sheetView>
  </sheetViews>
  <sheetFormatPr defaultRowHeight="12.75" x14ac:dyDescent="0.2"/>
  <cols>
    <col min="1" max="2" width="9.140625" style="7"/>
    <col min="3" max="3" width="4.5703125" style="7" customWidth="1"/>
    <col min="4" max="4" width="9" style="7" bestFit="1" customWidth="1"/>
    <col min="5" max="8" width="9.140625" style="7"/>
    <col min="9" max="9" width="4.5703125" style="7" customWidth="1"/>
    <col min="10" max="16384" width="9.140625" style="7"/>
  </cols>
  <sheetData>
    <row r="2" spans="1:11" x14ac:dyDescent="0.2">
      <c r="C2" s="8"/>
      <c r="D2" s="5"/>
      <c r="E2" s="5" t="s">
        <v>54</v>
      </c>
      <c r="F2" s="5" t="s">
        <v>55</v>
      </c>
      <c r="G2" s="5" t="s">
        <v>56</v>
      </c>
      <c r="H2" s="5" t="s">
        <v>57</v>
      </c>
      <c r="J2" s="14" t="s">
        <v>58</v>
      </c>
      <c r="K2" s="14" t="s">
        <v>58</v>
      </c>
    </row>
    <row r="3" spans="1:11" x14ac:dyDescent="0.2">
      <c r="A3" s="8" t="s">
        <v>6</v>
      </c>
      <c r="B3" s="13" t="s">
        <v>92</v>
      </c>
      <c r="D3" s="8" t="s">
        <v>4</v>
      </c>
      <c r="E3" s="9">
        <f>$B$4</f>
        <v>162</v>
      </c>
      <c r="F3" s="9">
        <f>$B$4</f>
        <v>162</v>
      </c>
      <c r="G3" s="9">
        <f>$B$4</f>
        <v>162</v>
      </c>
      <c r="H3" s="9">
        <f>$B$4</f>
        <v>162</v>
      </c>
      <c r="J3" s="14" t="s">
        <v>61</v>
      </c>
      <c r="K3" s="14" t="s">
        <v>60</v>
      </c>
    </row>
    <row r="4" spans="1:11" x14ac:dyDescent="0.2">
      <c r="A4" s="8" t="s">
        <v>4</v>
      </c>
      <c r="B4" s="3">
        <v>162</v>
      </c>
      <c r="D4" s="8" t="s">
        <v>5</v>
      </c>
      <c r="E4" s="3">
        <v>6.47</v>
      </c>
      <c r="F4" s="4">
        <f>E4</f>
        <v>6.47</v>
      </c>
      <c r="G4" s="3">
        <v>6.72</v>
      </c>
      <c r="H4" s="4">
        <f>G4</f>
        <v>6.72</v>
      </c>
      <c r="J4" s="15" t="s">
        <v>59</v>
      </c>
      <c r="K4" s="15" t="s">
        <v>59</v>
      </c>
    </row>
    <row r="5" spans="1:11" x14ac:dyDescent="0.2">
      <c r="D5" s="8"/>
      <c r="H5" s="4"/>
    </row>
    <row r="6" spans="1:11" x14ac:dyDescent="0.2">
      <c r="B6" s="9">
        <f t="shared" ref="B6:B13" si="0">B7-$B$24</f>
        <v>146</v>
      </c>
      <c r="C6" s="9"/>
      <c r="D6" s="9"/>
      <c r="E6" s="9">
        <f>MAX((E$3-$B6),0)-E$4</f>
        <v>9.5300000000000011</v>
      </c>
      <c r="F6" s="9">
        <f>-1*MAX((F$3-$B6),0)+F$4</f>
        <v>-9.5300000000000011</v>
      </c>
      <c r="G6" s="9">
        <f>-1*MIN((G$3-$B6),0)-G$4</f>
        <v>-6.72</v>
      </c>
      <c r="H6" s="9">
        <f>MIN((H$3-$B6),0)+H$4</f>
        <v>6.72</v>
      </c>
      <c r="J6" s="9">
        <f>$B6-$B$4</f>
        <v>-16</v>
      </c>
      <c r="K6" s="9">
        <f>$B$4-$B6</f>
        <v>16</v>
      </c>
    </row>
    <row r="7" spans="1:11" x14ac:dyDescent="0.2">
      <c r="B7" s="9">
        <f t="shared" si="0"/>
        <v>148</v>
      </c>
      <c r="C7" s="9"/>
      <c r="D7" s="9"/>
      <c r="E7" s="9">
        <f t="shared" ref="E7:E22" si="1">MAX((E$3-$B7),0)-E$4</f>
        <v>7.53</v>
      </c>
      <c r="F7" s="9">
        <f t="shared" ref="F7:F22" si="2">-1*MAX((F$3-$B7),0)+F$4</f>
        <v>-7.53</v>
      </c>
      <c r="G7" s="9">
        <f t="shared" ref="G7:G22" si="3">-1*MIN((G$3-$B7),0)-G$4</f>
        <v>-6.72</v>
      </c>
      <c r="H7" s="9">
        <f t="shared" ref="H7:H22" si="4">MIN((H$3-$B7),0)+H$4</f>
        <v>6.72</v>
      </c>
      <c r="J7" s="9">
        <f t="shared" ref="J7:J22" si="5">$B7-$B$4</f>
        <v>-14</v>
      </c>
      <c r="K7" s="9">
        <f t="shared" ref="K7:K22" si="6">$B$4-$B7</f>
        <v>14</v>
      </c>
    </row>
    <row r="8" spans="1:11" x14ac:dyDescent="0.2">
      <c r="B8" s="9">
        <f t="shared" si="0"/>
        <v>150</v>
      </c>
      <c r="C8" s="9"/>
      <c r="D8" s="9"/>
      <c r="E8" s="9">
        <f t="shared" si="1"/>
        <v>5.53</v>
      </c>
      <c r="F8" s="9">
        <f t="shared" si="2"/>
        <v>-5.53</v>
      </c>
      <c r="G8" s="9">
        <f t="shared" si="3"/>
        <v>-6.72</v>
      </c>
      <c r="H8" s="9">
        <f t="shared" si="4"/>
        <v>6.72</v>
      </c>
      <c r="J8" s="9">
        <f t="shared" si="5"/>
        <v>-12</v>
      </c>
      <c r="K8" s="9">
        <f t="shared" si="6"/>
        <v>12</v>
      </c>
    </row>
    <row r="9" spans="1:11" x14ac:dyDescent="0.2">
      <c r="B9" s="9">
        <f t="shared" si="0"/>
        <v>152</v>
      </c>
      <c r="C9" s="9"/>
      <c r="D9" s="9"/>
      <c r="E9" s="9">
        <f t="shared" si="1"/>
        <v>3.5300000000000002</v>
      </c>
      <c r="F9" s="9">
        <f t="shared" si="2"/>
        <v>-3.5300000000000002</v>
      </c>
      <c r="G9" s="9">
        <f t="shared" si="3"/>
        <v>-6.72</v>
      </c>
      <c r="H9" s="9">
        <f t="shared" si="4"/>
        <v>6.72</v>
      </c>
      <c r="J9" s="9">
        <f t="shared" si="5"/>
        <v>-10</v>
      </c>
      <c r="K9" s="9">
        <f t="shared" si="6"/>
        <v>10</v>
      </c>
    </row>
    <row r="10" spans="1:11" x14ac:dyDescent="0.2">
      <c r="B10" s="9">
        <f t="shared" si="0"/>
        <v>154</v>
      </c>
      <c r="C10" s="9"/>
      <c r="D10" s="9"/>
      <c r="E10" s="9">
        <f t="shared" si="1"/>
        <v>1.5300000000000002</v>
      </c>
      <c r="F10" s="9">
        <f t="shared" si="2"/>
        <v>-1.5300000000000002</v>
      </c>
      <c r="G10" s="9">
        <f t="shared" si="3"/>
        <v>-6.72</v>
      </c>
      <c r="H10" s="9">
        <f t="shared" si="4"/>
        <v>6.72</v>
      </c>
      <c r="J10" s="9">
        <f t="shared" si="5"/>
        <v>-8</v>
      </c>
      <c r="K10" s="9">
        <f t="shared" si="6"/>
        <v>8</v>
      </c>
    </row>
    <row r="11" spans="1:11" x14ac:dyDescent="0.2">
      <c r="B11" s="9">
        <f t="shared" si="0"/>
        <v>156</v>
      </c>
      <c r="C11" s="9"/>
      <c r="D11" s="9"/>
      <c r="E11" s="9">
        <f t="shared" si="1"/>
        <v>-0.46999999999999975</v>
      </c>
      <c r="F11" s="9">
        <f t="shared" si="2"/>
        <v>0.46999999999999975</v>
      </c>
      <c r="G11" s="9">
        <f t="shared" si="3"/>
        <v>-6.72</v>
      </c>
      <c r="H11" s="9">
        <f t="shared" si="4"/>
        <v>6.72</v>
      </c>
      <c r="J11" s="9">
        <f t="shared" si="5"/>
        <v>-6</v>
      </c>
      <c r="K11" s="9">
        <f t="shared" si="6"/>
        <v>6</v>
      </c>
    </row>
    <row r="12" spans="1:11" x14ac:dyDescent="0.2">
      <c r="B12" s="9">
        <f t="shared" si="0"/>
        <v>158</v>
      </c>
      <c r="C12" s="9"/>
      <c r="D12" s="9"/>
      <c r="E12" s="9">
        <f t="shared" si="1"/>
        <v>-2.4699999999999998</v>
      </c>
      <c r="F12" s="9">
        <f t="shared" si="2"/>
        <v>2.4699999999999998</v>
      </c>
      <c r="G12" s="9">
        <f t="shared" si="3"/>
        <v>-6.72</v>
      </c>
      <c r="H12" s="9">
        <f t="shared" si="4"/>
        <v>6.72</v>
      </c>
      <c r="J12" s="9">
        <f t="shared" si="5"/>
        <v>-4</v>
      </c>
      <c r="K12" s="9">
        <f t="shared" si="6"/>
        <v>4</v>
      </c>
    </row>
    <row r="13" spans="1:11" x14ac:dyDescent="0.2">
      <c r="B13" s="9">
        <f t="shared" si="0"/>
        <v>160</v>
      </c>
      <c r="C13" s="9"/>
      <c r="D13" s="9"/>
      <c r="E13" s="9">
        <f t="shared" si="1"/>
        <v>-4.47</v>
      </c>
      <c r="F13" s="9">
        <f t="shared" si="2"/>
        <v>4.47</v>
      </c>
      <c r="G13" s="9">
        <f t="shared" si="3"/>
        <v>-6.72</v>
      </c>
      <c r="H13" s="9">
        <f t="shared" si="4"/>
        <v>6.72</v>
      </c>
      <c r="J13" s="9">
        <f t="shared" si="5"/>
        <v>-2</v>
      </c>
      <c r="K13" s="9">
        <f t="shared" si="6"/>
        <v>2</v>
      </c>
    </row>
    <row r="14" spans="1:11" x14ac:dyDescent="0.2">
      <c r="B14" s="9">
        <f>B4</f>
        <v>162</v>
      </c>
      <c r="C14" s="9"/>
      <c r="D14" s="9"/>
      <c r="E14" s="9">
        <f t="shared" si="1"/>
        <v>-6.47</v>
      </c>
      <c r="F14" s="9">
        <f t="shared" si="2"/>
        <v>6.47</v>
      </c>
      <c r="G14" s="9">
        <f t="shared" si="3"/>
        <v>-6.72</v>
      </c>
      <c r="H14" s="9">
        <f t="shared" si="4"/>
        <v>6.72</v>
      </c>
      <c r="J14" s="9">
        <f t="shared" si="5"/>
        <v>0</v>
      </c>
      <c r="K14" s="9">
        <f t="shared" si="6"/>
        <v>0</v>
      </c>
    </row>
    <row r="15" spans="1:11" x14ac:dyDescent="0.2">
      <c r="B15" s="9">
        <f t="shared" ref="B15:B22" si="7">B14+$B$24</f>
        <v>164</v>
      </c>
      <c r="C15" s="9"/>
      <c r="D15" s="9"/>
      <c r="E15" s="9">
        <f t="shared" si="1"/>
        <v>-6.47</v>
      </c>
      <c r="F15" s="9">
        <f t="shared" si="2"/>
        <v>6.47</v>
      </c>
      <c r="G15" s="9">
        <f t="shared" si="3"/>
        <v>-4.72</v>
      </c>
      <c r="H15" s="9">
        <f t="shared" si="4"/>
        <v>4.72</v>
      </c>
      <c r="J15" s="9">
        <f t="shared" si="5"/>
        <v>2</v>
      </c>
      <c r="K15" s="9">
        <f t="shared" si="6"/>
        <v>-2</v>
      </c>
    </row>
    <row r="16" spans="1:11" x14ac:dyDescent="0.2">
      <c r="B16" s="9">
        <f t="shared" si="7"/>
        <v>166</v>
      </c>
      <c r="C16" s="9"/>
      <c r="D16" s="9"/>
      <c r="E16" s="9">
        <f t="shared" si="1"/>
        <v>-6.47</v>
      </c>
      <c r="F16" s="9">
        <f t="shared" si="2"/>
        <v>6.47</v>
      </c>
      <c r="G16" s="9">
        <f t="shared" si="3"/>
        <v>-2.7199999999999998</v>
      </c>
      <c r="H16" s="9">
        <f t="shared" si="4"/>
        <v>2.7199999999999998</v>
      </c>
      <c r="J16" s="9">
        <f t="shared" si="5"/>
        <v>4</v>
      </c>
      <c r="K16" s="9">
        <f t="shared" si="6"/>
        <v>-4</v>
      </c>
    </row>
    <row r="17" spans="1:11" x14ac:dyDescent="0.2">
      <c r="B17" s="9">
        <f t="shared" si="7"/>
        <v>168</v>
      </c>
      <c r="C17" s="9"/>
      <c r="D17" s="9"/>
      <c r="E17" s="9">
        <f t="shared" si="1"/>
        <v>-6.47</v>
      </c>
      <c r="F17" s="9">
        <f t="shared" si="2"/>
        <v>6.47</v>
      </c>
      <c r="G17" s="9">
        <f t="shared" si="3"/>
        <v>-0.71999999999999975</v>
      </c>
      <c r="H17" s="9">
        <f t="shared" si="4"/>
        <v>0.71999999999999975</v>
      </c>
      <c r="J17" s="9">
        <f t="shared" si="5"/>
        <v>6</v>
      </c>
      <c r="K17" s="9">
        <f t="shared" si="6"/>
        <v>-6</v>
      </c>
    </row>
    <row r="18" spans="1:11" x14ac:dyDescent="0.2">
      <c r="B18" s="9">
        <f t="shared" si="7"/>
        <v>170</v>
      </c>
      <c r="C18" s="9"/>
      <c r="D18" s="9"/>
      <c r="E18" s="9">
        <f t="shared" si="1"/>
        <v>-6.47</v>
      </c>
      <c r="F18" s="9">
        <f t="shared" si="2"/>
        <v>6.47</v>
      </c>
      <c r="G18" s="9">
        <f t="shared" si="3"/>
        <v>1.2800000000000002</v>
      </c>
      <c r="H18" s="9">
        <f t="shared" si="4"/>
        <v>-1.2800000000000002</v>
      </c>
      <c r="J18" s="9">
        <f t="shared" si="5"/>
        <v>8</v>
      </c>
      <c r="K18" s="9">
        <f t="shared" si="6"/>
        <v>-8</v>
      </c>
    </row>
    <row r="19" spans="1:11" x14ac:dyDescent="0.2">
      <c r="B19" s="9">
        <f t="shared" si="7"/>
        <v>172</v>
      </c>
      <c r="C19" s="9"/>
      <c r="D19" s="9"/>
      <c r="E19" s="9">
        <f t="shared" si="1"/>
        <v>-6.47</v>
      </c>
      <c r="F19" s="9">
        <f t="shared" si="2"/>
        <v>6.47</v>
      </c>
      <c r="G19" s="9">
        <f t="shared" si="3"/>
        <v>3.2800000000000002</v>
      </c>
      <c r="H19" s="9">
        <f t="shared" si="4"/>
        <v>-3.2800000000000002</v>
      </c>
      <c r="J19" s="9">
        <f t="shared" si="5"/>
        <v>10</v>
      </c>
      <c r="K19" s="9">
        <f t="shared" si="6"/>
        <v>-10</v>
      </c>
    </row>
    <row r="20" spans="1:11" x14ac:dyDescent="0.2">
      <c r="B20" s="9">
        <f t="shared" si="7"/>
        <v>174</v>
      </c>
      <c r="C20" s="9"/>
      <c r="D20" s="9"/>
      <c r="E20" s="9">
        <f t="shared" si="1"/>
        <v>-6.47</v>
      </c>
      <c r="F20" s="9">
        <f t="shared" si="2"/>
        <v>6.47</v>
      </c>
      <c r="G20" s="9">
        <f t="shared" si="3"/>
        <v>5.28</v>
      </c>
      <c r="H20" s="9">
        <f t="shared" si="4"/>
        <v>-5.28</v>
      </c>
      <c r="J20" s="9">
        <f t="shared" si="5"/>
        <v>12</v>
      </c>
      <c r="K20" s="9">
        <f t="shared" si="6"/>
        <v>-12</v>
      </c>
    </row>
    <row r="21" spans="1:11" x14ac:dyDescent="0.2">
      <c r="B21" s="9">
        <f t="shared" si="7"/>
        <v>176</v>
      </c>
      <c r="C21" s="9"/>
      <c r="D21" s="9"/>
      <c r="E21" s="9">
        <f t="shared" si="1"/>
        <v>-6.47</v>
      </c>
      <c r="F21" s="9">
        <f t="shared" si="2"/>
        <v>6.47</v>
      </c>
      <c r="G21" s="9">
        <f t="shared" si="3"/>
        <v>7.28</v>
      </c>
      <c r="H21" s="9">
        <f t="shared" si="4"/>
        <v>-7.28</v>
      </c>
      <c r="J21" s="9">
        <f t="shared" si="5"/>
        <v>14</v>
      </c>
      <c r="K21" s="9">
        <f t="shared" si="6"/>
        <v>-14</v>
      </c>
    </row>
    <row r="22" spans="1:11" x14ac:dyDescent="0.2">
      <c r="B22" s="9">
        <f t="shared" si="7"/>
        <v>178</v>
      </c>
      <c r="C22" s="9"/>
      <c r="D22" s="9"/>
      <c r="E22" s="9">
        <f t="shared" si="1"/>
        <v>-6.47</v>
      </c>
      <c r="F22" s="9">
        <f t="shared" si="2"/>
        <v>6.47</v>
      </c>
      <c r="G22" s="9">
        <f t="shared" si="3"/>
        <v>9.2800000000000011</v>
      </c>
      <c r="H22" s="9">
        <f t="shared" si="4"/>
        <v>-9.2800000000000011</v>
      </c>
      <c r="J22" s="9">
        <f t="shared" si="5"/>
        <v>16</v>
      </c>
      <c r="K22" s="9">
        <f t="shared" si="6"/>
        <v>-16</v>
      </c>
    </row>
    <row r="24" spans="1:11" x14ac:dyDescent="0.2">
      <c r="A24" s="10" t="s">
        <v>46</v>
      </c>
      <c r="B24" s="1">
        <v>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zoomScale="130" zoomScaleNormal="130" workbookViewId="0">
      <selection activeCell="B5" sqref="B5"/>
    </sheetView>
  </sheetViews>
  <sheetFormatPr defaultRowHeight="12.75" x14ac:dyDescent="0.2"/>
  <cols>
    <col min="1" max="4" width="12.7109375" style="2" customWidth="1"/>
    <col min="5" max="5" width="3.7109375" style="2" customWidth="1"/>
    <col min="6" max="6" width="15.85546875" style="2" customWidth="1"/>
    <col min="7" max="9" width="12.7109375" style="2" customWidth="1"/>
    <col min="10" max="10" width="4.7109375" style="2" customWidth="1"/>
    <col min="11" max="16384" width="9.140625" style="2"/>
  </cols>
  <sheetData>
    <row r="1" spans="1:13" x14ac:dyDescent="0.2">
      <c r="A1" s="72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x14ac:dyDescent="0.2">
      <c r="A2" s="75" t="s">
        <v>25</v>
      </c>
      <c r="B2" s="76"/>
      <c r="C2" s="76"/>
      <c r="D2" s="76"/>
      <c r="E2" s="76"/>
      <c r="F2" s="77" t="s">
        <v>13</v>
      </c>
      <c r="G2" s="76"/>
      <c r="H2" s="76"/>
      <c r="I2" s="76"/>
      <c r="J2" s="76"/>
      <c r="K2" s="116" t="s">
        <v>45</v>
      </c>
      <c r="L2" s="116"/>
      <c r="M2" s="78"/>
    </row>
    <row r="3" spans="1:13" x14ac:dyDescent="0.2">
      <c r="A3" s="79" t="s">
        <v>12</v>
      </c>
      <c r="B3" s="76" t="s">
        <v>17</v>
      </c>
      <c r="C3" s="80" t="s">
        <v>18</v>
      </c>
      <c r="D3" s="76" t="s">
        <v>19</v>
      </c>
      <c r="E3" s="76"/>
      <c r="F3" s="76"/>
      <c r="G3" s="81" t="s">
        <v>14</v>
      </c>
      <c r="H3" s="81" t="s">
        <v>15</v>
      </c>
      <c r="I3" s="81" t="s">
        <v>16</v>
      </c>
      <c r="J3" s="76"/>
      <c r="K3" s="82" t="s">
        <v>43</v>
      </c>
      <c r="L3" s="81" t="s">
        <v>44</v>
      </c>
      <c r="M3" s="78"/>
    </row>
    <row r="4" spans="1:13" x14ac:dyDescent="0.2">
      <c r="A4" s="83">
        <v>158</v>
      </c>
      <c r="B4" s="84">
        <v>-10</v>
      </c>
      <c r="C4" s="84">
        <v>4.8</v>
      </c>
      <c r="D4" s="85">
        <f>A4+B4-C4</f>
        <v>143.19999999999999</v>
      </c>
      <c r="E4" s="76"/>
      <c r="F4" s="76" t="s">
        <v>20</v>
      </c>
      <c r="G4" s="85">
        <f>AVERAGE($A$4,$A$13,$A$22)+$K$4</f>
        <v>174</v>
      </c>
      <c r="H4" s="85">
        <f>AVERAGE($A$4,$A$13,$A$22)-$L$4</f>
        <v>134</v>
      </c>
      <c r="I4" s="85">
        <f>AVERAGE($A4,$A13,$A22)</f>
        <v>154</v>
      </c>
      <c r="J4" s="76"/>
      <c r="K4" s="86">
        <v>20</v>
      </c>
      <c r="L4" s="17">
        <f>K4</f>
        <v>20</v>
      </c>
      <c r="M4" s="78"/>
    </row>
    <row r="5" spans="1:13" x14ac:dyDescent="0.2">
      <c r="A5" s="79"/>
      <c r="B5" s="76"/>
      <c r="C5" s="76"/>
      <c r="D5" s="76"/>
      <c r="E5" s="76"/>
      <c r="F5" s="76" t="s">
        <v>3</v>
      </c>
      <c r="G5" s="85">
        <f>$B4</f>
        <v>-10</v>
      </c>
      <c r="H5" s="85">
        <f>$B4</f>
        <v>-10</v>
      </c>
      <c r="I5" s="85">
        <f>$B4</f>
        <v>-10</v>
      </c>
      <c r="J5" s="76"/>
      <c r="K5" s="76"/>
      <c r="L5" s="76"/>
      <c r="M5" s="78"/>
    </row>
    <row r="6" spans="1:13" x14ac:dyDescent="0.2">
      <c r="A6" s="79"/>
      <c r="B6" s="76"/>
      <c r="C6" s="76"/>
      <c r="D6" s="76"/>
      <c r="E6" s="76"/>
      <c r="F6" s="87" t="s">
        <v>21</v>
      </c>
      <c r="G6" s="88">
        <f>G4+G5</f>
        <v>164</v>
      </c>
      <c r="H6" s="88">
        <f>H4+H5</f>
        <v>124</v>
      </c>
      <c r="I6" s="88">
        <f>I4+I5</f>
        <v>144</v>
      </c>
      <c r="J6" s="76"/>
      <c r="K6" s="76"/>
      <c r="L6" s="76"/>
      <c r="M6" s="78"/>
    </row>
    <row r="7" spans="1:13" x14ac:dyDescent="0.2">
      <c r="A7" s="79"/>
      <c r="B7" s="76"/>
      <c r="C7" s="76"/>
      <c r="D7" s="76"/>
      <c r="E7" s="76"/>
      <c r="F7" s="76" t="s">
        <v>24</v>
      </c>
      <c r="G7" s="85">
        <f>$C4</f>
        <v>4.8</v>
      </c>
      <c r="H7" s="85">
        <f>$C4</f>
        <v>4.8</v>
      </c>
      <c r="I7" s="85">
        <f>$C4</f>
        <v>4.8</v>
      </c>
      <c r="J7" s="76"/>
      <c r="K7" s="76"/>
      <c r="L7" s="76"/>
      <c r="M7" s="78"/>
    </row>
    <row r="8" spans="1:13" x14ac:dyDescent="0.2">
      <c r="A8" s="79"/>
      <c r="B8" s="76"/>
      <c r="C8" s="76"/>
      <c r="D8" s="76"/>
      <c r="E8" s="76"/>
      <c r="F8" s="76" t="s">
        <v>22</v>
      </c>
      <c r="G8" s="85">
        <f>IF(G4&lt;$A4,$A4-G4,0)</f>
        <v>0</v>
      </c>
      <c r="H8" s="85">
        <f>IF(H4&lt;$A4,$A4-H4,0)</f>
        <v>24</v>
      </c>
      <c r="I8" s="85">
        <f>IF(I4&lt;$A4,$A4-I4,0)</f>
        <v>4</v>
      </c>
      <c r="J8" s="76"/>
      <c r="K8" s="76"/>
      <c r="L8" s="76"/>
      <c r="M8" s="78"/>
    </row>
    <row r="9" spans="1:13" x14ac:dyDescent="0.2">
      <c r="A9" s="79"/>
      <c r="B9" s="76"/>
      <c r="C9" s="76"/>
      <c r="D9" s="76"/>
      <c r="E9" s="76"/>
      <c r="F9" s="87" t="s">
        <v>23</v>
      </c>
      <c r="G9" s="88">
        <f>G6-G7+G8</f>
        <v>159.19999999999999</v>
      </c>
      <c r="H9" s="88">
        <f>H6-H7+H8</f>
        <v>143.19999999999999</v>
      </c>
      <c r="I9" s="88">
        <f>I6-I7+I8</f>
        <v>143.19999999999999</v>
      </c>
      <c r="J9" s="76"/>
      <c r="K9" s="76"/>
      <c r="L9" s="76"/>
      <c r="M9" s="78"/>
    </row>
    <row r="10" spans="1:13" x14ac:dyDescent="0.2">
      <c r="A10" s="79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8"/>
    </row>
    <row r="11" spans="1:13" x14ac:dyDescent="0.2">
      <c r="A11" s="75" t="s">
        <v>25</v>
      </c>
      <c r="B11" s="76"/>
      <c r="C11" s="76"/>
      <c r="D11" s="76"/>
      <c r="E11" s="76"/>
      <c r="F11" s="77" t="s">
        <v>13</v>
      </c>
      <c r="G11" s="77"/>
      <c r="H11" s="77"/>
      <c r="I11" s="77"/>
      <c r="J11" s="76"/>
      <c r="K11" s="76"/>
      <c r="L11" s="76"/>
      <c r="M11" s="78"/>
    </row>
    <row r="12" spans="1:13" x14ac:dyDescent="0.2">
      <c r="A12" s="79" t="s">
        <v>12</v>
      </c>
      <c r="B12" s="76" t="s">
        <v>17</v>
      </c>
      <c r="C12" s="80" t="s">
        <v>18</v>
      </c>
      <c r="D12" s="76" t="s">
        <v>19</v>
      </c>
      <c r="E12" s="76"/>
      <c r="F12" s="77"/>
      <c r="G12" s="81" t="s">
        <v>14</v>
      </c>
      <c r="H12" s="81" t="s">
        <v>15</v>
      </c>
      <c r="I12" s="81" t="s">
        <v>16</v>
      </c>
      <c r="J12" s="76"/>
      <c r="K12" s="76"/>
      <c r="L12" s="76"/>
      <c r="M12" s="78"/>
    </row>
    <row r="13" spans="1:13" x14ac:dyDescent="0.2">
      <c r="A13" s="83">
        <v>154</v>
      </c>
      <c r="B13" s="18">
        <f>B4</f>
        <v>-10</v>
      </c>
      <c r="C13" s="84">
        <v>3.45</v>
      </c>
      <c r="D13" s="85">
        <f>A13+B13-C13</f>
        <v>140.55000000000001</v>
      </c>
      <c r="E13" s="76"/>
      <c r="F13" s="76" t="s">
        <v>20</v>
      </c>
      <c r="G13" s="85">
        <f>AVERAGE($A$4,$A$13,$A$22)+$K$4</f>
        <v>174</v>
      </c>
      <c r="H13" s="85">
        <f>AVERAGE($A$4,$A$13,$A$22)-$L$4</f>
        <v>134</v>
      </c>
      <c r="I13" s="85">
        <f>AVERAGE($A4,$A13,$A22)</f>
        <v>154</v>
      </c>
      <c r="J13" s="76"/>
      <c r="K13" s="76"/>
      <c r="L13" s="76"/>
      <c r="M13" s="78"/>
    </row>
    <row r="14" spans="1:13" x14ac:dyDescent="0.2">
      <c r="A14" s="79"/>
      <c r="B14" s="76"/>
      <c r="C14" s="76"/>
      <c r="D14" s="76"/>
      <c r="E14" s="76"/>
      <c r="F14" s="76" t="s">
        <v>3</v>
      </c>
      <c r="G14" s="85">
        <f>$B13</f>
        <v>-10</v>
      </c>
      <c r="H14" s="85">
        <f>$B13</f>
        <v>-10</v>
      </c>
      <c r="I14" s="85">
        <f>$B13</f>
        <v>-10</v>
      </c>
      <c r="J14" s="76"/>
      <c r="K14" s="76"/>
      <c r="L14" s="76"/>
      <c r="M14" s="78"/>
    </row>
    <row r="15" spans="1:13" x14ac:dyDescent="0.2">
      <c r="A15" s="79"/>
      <c r="B15" s="76"/>
      <c r="C15" s="76"/>
      <c r="D15" s="76"/>
      <c r="E15" s="76"/>
      <c r="F15" s="87" t="s">
        <v>21</v>
      </c>
      <c r="G15" s="88">
        <f>G13+G14</f>
        <v>164</v>
      </c>
      <c r="H15" s="88">
        <f>H13+H14</f>
        <v>124</v>
      </c>
      <c r="I15" s="88">
        <f>I13+I14</f>
        <v>144</v>
      </c>
      <c r="J15" s="76"/>
      <c r="K15" s="76"/>
      <c r="L15" s="76"/>
      <c r="M15" s="78"/>
    </row>
    <row r="16" spans="1:13" x14ac:dyDescent="0.2">
      <c r="A16" s="79"/>
      <c r="B16" s="76"/>
      <c r="C16" s="76"/>
      <c r="D16" s="76"/>
      <c r="E16" s="76"/>
      <c r="F16" s="76" t="s">
        <v>24</v>
      </c>
      <c r="G16" s="85">
        <f>$C13</f>
        <v>3.45</v>
      </c>
      <c r="H16" s="85">
        <f>$C13</f>
        <v>3.45</v>
      </c>
      <c r="I16" s="85">
        <f>$C13</f>
        <v>3.45</v>
      </c>
      <c r="J16" s="76"/>
      <c r="K16" s="76"/>
      <c r="L16" s="76"/>
      <c r="M16" s="78"/>
    </row>
    <row r="17" spans="1:13" x14ac:dyDescent="0.2">
      <c r="A17" s="79"/>
      <c r="B17" s="76"/>
      <c r="C17" s="76"/>
      <c r="D17" s="76"/>
      <c r="E17" s="76"/>
      <c r="F17" s="76" t="s">
        <v>22</v>
      </c>
      <c r="G17" s="85">
        <f>IF(G13&lt;$A13,$A13-G13,0)</f>
        <v>0</v>
      </c>
      <c r="H17" s="85">
        <f>IF(H13&lt;$A13,$A13-H13,0)</f>
        <v>20</v>
      </c>
      <c r="I17" s="85">
        <f>IF(I13&lt;$A13,$A13-I13,0)</f>
        <v>0</v>
      </c>
      <c r="J17" s="76"/>
      <c r="K17" s="76"/>
      <c r="L17" s="76"/>
      <c r="M17" s="78"/>
    </row>
    <row r="18" spans="1:13" x14ac:dyDescent="0.2">
      <c r="A18" s="79"/>
      <c r="B18" s="76"/>
      <c r="C18" s="76"/>
      <c r="D18" s="76"/>
      <c r="E18" s="76"/>
      <c r="F18" s="87" t="s">
        <v>23</v>
      </c>
      <c r="G18" s="88">
        <f>G15-G16+G17</f>
        <v>160.55000000000001</v>
      </c>
      <c r="H18" s="88">
        <f>H15-H16+H17</f>
        <v>140.55000000000001</v>
      </c>
      <c r="I18" s="88">
        <f>I15-I16+I17</f>
        <v>140.55000000000001</v>
      </c>
      <c r="J18" s="76"/>
      <c r="K18" s="76"/>
      <c r="L18" s="76"/>
      <c r="M18" s="78"/>
    </row>
    <row r="19" spans="1:13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8"/>
    </row>
    <row r="20" spans="1:13" x14ac:dyDescent="0.2">
      <c r="A20" s="75" t="s">
        <v>25</v>
      </c>
      <c r="B20" s="76"/>
      <c r="C20" s="76"/>
      <c r="D20" s="76"/>
      <c r="E20" s="76"/>
      <c r="F20" s="77" t="s">
        <v>13</v>
      </c>
      <c r="G20" s="77"/>
      <c r="H20" s="77"/>
      <c r="I20" s="77"/>
      <c r="J20" s="76"/>
      <c r="K20" s="76"/>
      <c r="L20" s="76"/>
      <c r="M20" s="78"/>
    </row>
    <row r="21" spans="1:13" x14ac:dyDescent="0.2">
      <c r="A21" s="79" t="s">
        <v>12</v>
      </c>
      <c r="B21" s="76" t="s">
        <v>17</v>
      </c>
      <c r="C21" s="80" t="s">
        <v>18</v>
      </c>
      <c r="D21" s="76" t="s">
        <v>19</v>
      </c>
      <c r="E21" s="76"/>
      <c r="F21" s="77"/>
      <c r="G21" s="81" t="s">
        <v>14</v>
      </c>
      <c r="H21" s="81" t="s">
        <v>15</v>
      </c>
      <c r="I21" s="81" t="s">
        <v>16</v>
      </c>
      <c r="J21" s="76"/>
      <c r="K21" s="76"/>
      <c r="L21" s="76"/>
      <c r="M21" s="78"/>
    </row>
    <row r="22" spans="1:13" x14ac:dyDescent="0.2">
      <c r="A22" s="83">
        <v>150</v>
      </c>
      <c r="B22" s="18">
        <f>B4</f>
        <v>-10</v>
      </c>
      <c r="C22" s="84">
        <v>2.42</v>
      </c>
      <c r="D22" s="85">
        <f>A22+B22-C22</f>
        <v>137.58000000000001</v>
      </c>
      <c r="E22" s="76"/>
      <c r="F22" s="76" t="s">
        <v>20</v>
      </c>
      <c r="G22" s="85">
        <f>AVERAGE($A$4,$A$13,$A$22)+$K$4</f>
        <v>174</v>
      </c>
      <c r="H22" s="85">
        <f>AVERAGE($A$4,$A$13,$A$22)-$L$4</f>
        <v>134</v>
      </c>
      <c r="I22" s="85">
        <f>AVERAGE($A4,$A13,$A22)</f>
        <v>154</v>
      </c>
      <c r="J22" s="76"/>
      <c r="K22" s="76"/>
      <c r="L22" s="76"/>
      <c r="M22" s="78"/>
    </row>
    <row r="23" spans="1:13" x14ac:dyDescent="0.2">
      <c r="A23" s="79"/>
      <c r="B23" s="76"/>
      <c r="C23" s="76"/>
      <c r="D23" s="76"/>
      <c r="E23" s="76"/>
      <c r="F23" s="76" t="s">
        <v>3</v>
      </c>
      <c r="G23" s="85">
        <f>$B22</f>
        <v>-10</v>
      </c>
      <c r="H23" s="85">
        <f>$B22</f>
        <v>-10</v>
      </c>
      <c r="I23" s="85">
        <f>$B22</f>
        <v>-10</v>
      </c>
      <c r="J23" s="76"/>
      <c r="K23" s="76"/>
      <c r="L23" s="76"/>
      <c r="M23" s="78"/>
    </row>
    <row r="24" spans="1:13" x14ac:dyDescent="0.2">
      <c r="A24" s="79"/>
      <c r="B24" s="76"/>
      <c r="C24" s="76"/>
      <c r="D24" s="76"/>
      <c r="E24" s="76"/>
      <c r="F24" s="87" t="s">
        <v>21</v>
      </c>
      <c r="G24" s="88">
        <f>G22+G23</f>
        <v>164</v>
      </c>
      <c r="H24" s="88">
        <f>H22+H23</f>
        <v>124</v>
      </c>
      <c r="I24" s="88">
        <f>I22+I23</f>
        <v>144</v>
      </c>
      <c r="J24" s="76"/>
      <c r="K24" s="76"/>
      <c r="L24" s="76"/>
      <c r="M24" s="78"/>
    </row>
    <row r="25" spans="1:13" x14ac:dyDescent="0.2">
      <c r="A25" s="79"/>
      <c r="B25" s="76"/>
      <c r="C25" s="76"/>
      <c r="D25" s="76"/>
      <c r="E25" s="76"/>
      <c r="F25" s="76" t="s">
        <v>24</v>
      </c>
      <c r="G25" s="85">
        <f>$C22</f>
        <v>2.42</v>
      </c>
      <c r="H25" s="85">
        <f>$C22</f>
        <v>2.42</v>
      </c>
      <c r="I25" s="85">
        <f>$C22</f>
        <v>2.42</v>
      </c>
      <c r="J25" s="76"/>
      <c r="K25" s="76"/>
      <c r="L25" s="76"/>
      <c r="M25" s="78"/>
    </row>
    <row r="26" spans="1:13" x14ac:dyDescent="0.2">
      <c r="A26" s="79"/>
      <c r="B26" s="76"/>
      <c r="C26" s="76"/>
      <c r="D26" s="76"/>
      <c r="E26" s="76"/>
      <c r="F26" s="76" t="s">
        <v>22</v>
      </c>
      <c r="G26" s="85">
        <f>IF(G22&lt;$A22,$A22-G22,0)</f>
        <v>0</v>
      </c>
      <c r="H26" s="85">
        <f>IF(H22&lt;$A22,$A22-H22,0)</f>
        <v>16</v>
      </c>
      <c r="I26" s="85">
        <f>IF(I22&lt;$A22,$A22-I22,0)</f>
        <v>0</v>
      </c>
      <c r="J26" s="76"/>
      <c r="K26" s="76"/>
      <c r="L26" s="76"/>
      <c r="M26" s="78"/>
    </row>
    <row r="27" spans="1:13" x14ac:dyDescent="0.2">
      <c r="A27" s="79"/>
      <c r="B27" s="76"/>
      <c r="C27" s="76"/>
      <c r="D27" s="76"/>
      <c r="E27" s="76"/>
      <c r="F27" s="87" t="s">
        <v>23</v>
      </c>
      <c r="G27" s="88">
        <f>G24-G25+G26</f>
        <v>161.58000000000001</v>
      </c>
      <c r="H27" s="88">
        <f>H24-H25+H26</f>
        <v>137.57999999999998</v>
      </c>
      <c r="I27" s="88">
        <f>I24-I25+I26</f>
        <v>141.58000000000001</v>
      </c>
      <c r="J27" s="76"/>
      <c r="K27" s="76"/>
      <c r="L27" s="76"/>
      <c r="M27" s="78"/>
    </row>
    <row r="28" spans="1:13" x14ac:dyDescent="0.2">
      <c r="A28" s="79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8"/>
    </row>
    <row r="29" spans="1:13" ht="13.5" thickBot="1" x14ac:dyDescent="0.25">
      <c r="A29" s="89"/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</row>
  </sheetData>
  <mergeCells count="1">
    <mergeCell ref="K2:L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"/>
  <sheetViews>
    <sheetView zoomScale="140" zoomScaleNormal="140" workbookViewId="0">
      <selection activeCell="B5" sqref="B5"/>
    </sheetView>
  </sheetViews>
  <sheetFormatPr defaultRowHeight="12.75" x14ac:dyDescent="0.2"/>
  <cols>
    <col min="1" max="1" width="12.7109375" style="2" customWidth="1"/>
    <col min="2" max="2" width="10.7109375" style="2" customWidth="1"/>
    <col min="3" max="4" width="11.7109375" style="2" customWidth="1"/>
    <col min="5" max="5" width="12.7109375" style="2" customWidth="1"/>
    <col min="6" max="6" width="3.7109375" style="2" customWidth="1"/>
    <col min="7" max="7" width="15.7109375" style="2" customWidth="1"/>
    <col min="8" max="10" width="12.7109375" style="2" customWidth="1"/>
    <col min="11" max="11" width="4.7109375" style="2" customWidth="1"/>
    <col min="12" max="16384" width="9.140625" style="2"/>
  </cols>
  <sheetData>
    <row r="1" spans="1:14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x14ac:dyDescent="0.2">
      <c r="A2" s="75" t="s">
        <v>25</v>
      </c>
      <c r="B2" s="76"/>
      <c r="C2" s="76"/>
      <c r="D2" s="76"/>
      <c r="E2" s="76"/>
      <c r="F2" s="76"/>
      <c r="G2" s="77" t="s">
        <v>13</v>
      </c>
      <c r="H2" s="76"/>
      <c r="I2" s="76"/>
      <c r="J2" s="76"/>
      <c r="K2" s="76"/>
      <c r="L2" s="116" t="s">
        <v>45</v>
      </c>
      <c r="M2" s="116"/>
      <c r="N2" s="78"/>
    </row>
    <row r="3" spans="1:14" x14ac:dyDescent="0.2">
      <c r="A3" s="79" t="s">
        <v>28</v>
      </c>
      <c r="B3" s="76" t="s">
        <v>17</v>
      </c>
      <c r="C3" s="93" t="s">
        <v>26</v>
      </c>
      <c r="D3" s="94" t="s">
        <v>29</v>
      </c>
      <c r="E3" s="95" t="s">
        <v>31</v>
      </c>
      <c r="F3" s="76"/>
      <c r="G3" s="76"/>
      <c r="H3" s="81" t="s">
        <v>14</v>
      </c>
      <c r="I3" s="81" t="s">
        <v>15</v>
      </c>
      <c r="J3" s="81" t="s">
        <v>16</v>
      </c>
      <c r="K3" s="76"/>
      <c r="L3" s="82" t="s">
        <v>43</v>
      </c>
      <c r="M3" s="81" t="s">
        <v>44</v>
      </c>
      <c r="N3" s="78"/>
    </row>
    <row r="4" spans="1:14" x14ac:dyDescent="0.2">
      <c r="A4" s="83">
        <v>154</v>
      </c>
      <c r="B4" s="84">
        <v>-10</v>
      </c>
      <c r="C4" s="84">
        <v>3.82</v>
      </c>
      <c r="D4" s="18">
        <f>$D7</f>
        <v>3.25</v>
      </c>
      <c r="E4" s="85">
        <f>A4+B4-C4+D4</f>
        <v>143.43</v>
      </c>
      <c r="F4" s="76"/>
      <c r="G4" s="76" t="s">
        <v>20</v>
      </c>
      <c r="H4" s="85">
        <f>AVERAGE($A4,$A7)+$L$4</f>
        <v>182</v>
      </c>
      <c r="I4" s="85">
        <f>AVERAGE($A4,$A7)-$M$4</f>
        <v>142</v>
      </c>
      <c r="J4" s="85">
        <f>AVERAGE($A4,$A7)</f>
        <v>162</v>
      </c>
      <c r="K4" s="76"/>
      <c r="L4" s="86">
        <v>20</v>
      </c>
      <c r="M4" s="17">
        <f>L4</f>
        <v>20</v>
      </c>
      <c r="N4" s="78"/>
    </row>
    <row r="5" spans="1:14" x14ac:dyDescent="0.2">
      <c r="A5" s="75" t="s">
        <v>27</v>
      </c>
      <c r="B5" s="76"/>
      <c r="C5" s="76"/>
      <c r="D5" s="76"/>
      <c r="E5" s="76"/>
      <c r="F5" s="76"/>
      <c r="G5" s="76" t="s">
        <v>3</v>
      </c>
      <c r="H5" s="85">
        <f>$B4</f>
        <v>-10</v>
      </c>
      <c r="I5" s="85">
        <f>$B4</f>
        <v>-10</v>
      </c>
      <c r="J5" s="85">
        <f>$B4</f>
        <v>-10</v>
      </c>
      <c r="K5" s="76"/>
      <c r="L5" s="76"/>
      <c r="M5" s="76"/>
      <c r="N5" s="78"/>
    </row>
    <row r="6" spans="1:14" x14ac:dyDescent="0.2">
      <c r="A6" s="75" t="s">
        <v>30</v>
      </c>
      <c r="B6" s="76" t="s">
        <v>17</v>
      </c>
      <c r="C6" s="93" t="s">
        <v>26</v>
      </c>
      <c r="D6" s="94" t="s">
        <v>29</v>
      </c>
      <c r="E6" s="95" t="s">
        <v>32</v>
      </c>
      <c r="F6" s="76"/>
      <c r="G6" s="87" t="s">
        <v>21</v>
      </c>
      <c r="H6" s="88">
        <f>H4+H5</f>
        <v>172</v>
      </c>
      <c r="I6" s="88">
        <f>I4+I5</f>
        <v>132</v>
      </c>
      <c r="J6" s="88">
        <f>J4+J5</f>
        <v>152</v>
      </c>
      <c r="K6" s="76"/>
      <c r="L6" s="76"/>
      <c r="M6" s="76"/>
      <c r="N6" s="78"/>
    </row>
    <row r="7" spans="1:14" x14ac:dyDescent="0.2">
      <c r="A7" s="83">
        <v>170</v>
      </c>
      <c r="B7" s="85">
        <f>$B4</f>
        <v>-10</v>
      </c>
      <c r="C7" s="85">
        <f>$C4</f>
        <v>3.82</v>
      </c>
      <c r="D7" s="84">
        <v>3.25</v>
      </c>
      <c r="E7" s="85">
        <f>A7+B7-C7+D4</f>
        <v>159.43</v>
      </c>
      <c r="F7" s="76"/>
      <c r="G7" s="76" t="s">
        <v>33</v>
      </c>
      <c r="H7" s="85">
        <f>$C4</f>
        <v>3.82</v>
      </c>
      <c r="I7" s="85">
        <f>$C4</f>
        <v>3.82</v>
      </c>
      <c r="J7" s="85">
        <f>$C4</f>
        <v>3.82</v>
      </c>
      <c r="K7" s="76"/>
      <c r="L7" s="76"/>
      <c r="M7" s="76"/>
      <c r="N7" s="78"/>
    </row>
    <row r="8" spans="1:14" x14ac:dyDescent="0.2">
      <c r="A8" s="79"/>
      <c r="B8" s="76"/>
      <c r="C8" s="76"/>
      <c r="D8" s="76"/>
      <c r="E8" s="76"/>
      <c r="F8" s="76"/>
      <c r="G8" s="76" t="s">
        <v>34</v>
      </c>
      <c r="H8" s="85">
        <f>IF(H4&lt;$A4,$A4-H4,0)</f>
        <v>0</v>
      </c>
      <c r="I8" s="85">
        <f>IF(I4&lt;$A4,$A4-I4,0)</f>
        <v>12</v>
      </c>
      <c r="J8" s="85">
        <f>IF(J4&lt;$A4,$A4-J4,0)</f>
        <v>0</v>
      </c>
      <c r="K8" s="76"/>
      <c r="L8" s="76"/>
      <c r="M8" s="76"/>
      <c r="N8" s="78"/>
    </row>
    <row r="9" spans="1:14" x14ac:dyDescent="0.2">
      <c r="A9" s="79"/>
      <c r="B9" s="76"/>
      <c r="C9" s="76"/>
      <c r="D9" s="76"/>
      <c r="E9" s="76"/>
      <c r="F9" s="76"/>
      <c r="G9" s="76" t="s">
        <v>35</v>
      </c>
      <c r="H9" s="85">
        <f>$D4</f>
        <v>3.25</v>
      </c>
      <c r="I9" s="85">
        <f>$D4</f>
        <v>3.25</v>
      </c>
      <c r="J9" s="85">
        <f>$D4</f>
        <v>3.25</v>
      </c>
      <c r="K9" s="76"/>
      <c r="L9" s="76"/>
      <c r="M9" s="76"/>
      <c r="N9" s="78"/>
    </row>
    <row r="10" spans="1:14" x14ac:dyDescent="0.2">
      <c r="A10" s="79"/>
      <c r="B10" s="76"/>
      <c r="C10" s="76"/>
      <c r="D10" s="76"/>
      <c r="E10" s="76"/>
      <c r="F10" s="76"/>
      <c r="G10" s="95" t="s">
        <v>53</v>
      </c>
      <c r="H10" s="85">
        <f>IF(A7&gt;$A4,$A7-H4,0)</f>
        <v>-12</v>
      </c>
      <c r="I10" s="85">
        <f>IF(B7&gt;$A4,$A7-I4,0)</f>
        <v>0</v>
      </c>
      <c r="J10" s="85">
        <f>IF(C7&gt;$A4,$A7-J4,0)</f>
        <v>0</v>
      </c>
      <c r="K10" s="76"/>
      <c r="L10" s="76"/>
      <c r="M10" s="76"/>
      <c r="N10" s="78"/>
    </row>
    <row r="11" spans="1:14" x14ac:dyDescent="0.2">
      <c r="A11" s="79"/>
      <c r="B11" s="76"/>
      <c r="C11" s="76"/>
      <c r="D11" s="76"/>
      <c r="E11" s="76"/>
      <c r="F11" s="76"/>
      <c r="G11" s="87" t="s">
        <v>23</v>
      </c>
      <c r="H11" s="88">
        <f>H6-H7+H8+H9+H10</f>
        <v>159.43</v>
      </c>
      <c r="I11" s="88">
        <f>I6-I7+I8+I9+I10</f>
        <v>143.43</v>
      </c>
      <c r="J11" s="88">
        <f>J6-J7+J8+J9+J10</f>
        <v>151.43</v>
      </c>
      <c r="K11" s="76"/>
      <c r="L11" s="76"/>
      <c r="M11" s="76"/>
      <c r="N11" s="78"/>
    </row>
    <row r="12" spans="1:14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8"/>
    </row>
    <row r="13" spans="1:14" x14ac:dyDescent="0.2">
      <c r="A13" s="75" t="s">
        <v>25</v>
      </c>
      <c r="B13" s="76"/>
      <c r="C13" s="76"/>
      <c r="D13" s="76"/>
      <c r="E13" s="76"/>
      <c r="F13" s="76"/>
      <c r="G13" s="77" t="s">
        <v>13</v>
      </c>
      <c r="H13" s="77"/>
      <c r="I13" s="77"/>
      <c r="J13" s="77"/>
      <c r="K13" s="76"/>
      <c r="L13" s="76"/>
      <c r="M13" s="76"/>
      <c r="N13" s="78"/>
    </row>
    <row r="14" spans="1:14" x14ac:dyDescent="0.2">
      <c r="A14" s="79" t="s">
        <v>28</v>
      </c>
      <c r="B14" s="76" t="s">
        <v>17</v>
      </c>
      <c r="C14" s="93" t="s">
        <v>26</v>
      </c>
      <c r="D14" s="94" t="s">
        <v>29</v>
      </c>
      <c r="E14" s="95" t="s">
        <v>31</v>
      </c>
      <c r="F14" s="76"/>
      <c r="G14" s="77"/>
      <c r="H14" s="81" t="s">
        <v>14</v>
      </c>
      <c r="I14" s="81" t="s">
        <v>15</v>
      </c>
      <c r="J14" s="81" t="s">
        <v>16</v>
      </c>
      <c r="K14" s="76"/>
      <c r="L14" s="76"/>
      <c r="M14" s="76"/>
      <c r="N14" s="78"/>
    </row>
    <row r="15" spans="1:14" x14ac:dyDescent="0.2">
      <c r="A15" s="83">
        <v>154</v>
      </c>
      <c r="B15" s="18">
        <f>$B4</f>
        <v>-10</v>
      </c>
      <c r="C15" s="84">
        <v>3.82</v>
      </c>
      <c r="D15" s="18">
        <f>$D18</f>
        <v>2.67</v>
      </c>
      <c r="E15" s="85">
        <f>A15+B15-C15+D15</f>
        <v>142.85</v>
      </c>
      <c r="F15" s="76"/>
      <c r="G15" s="76" t="s">
        <v>20</v>
      </c>
      <c r="H15" s="85">
        <f>AVERAGE($A15,$A18)+$L$4</f>
        <v>183</v>
      </c>
      <c r="I15" s="85">
        <f>AVERAGE($A15,$A18)-$M$4</f>
        <v>143</v>
      </c>
      <c r="J15" s="85">
        <f>AVERAGE($A15,$A18)</f>
        <v>163</v>
      </c>
      <c r="K15" s="76"/>
      <c r="L15" s="76"/>
      <c r="M15" s="76"/>
      <c r="N15" s="78"/>
    </row>
    <row r="16" spans="1:14" x14ac:dyDescent="0.2">
      <c r="A16" s="75" t="s">
        <v>27</v>
      </c>
      <c r="B16" s="76"/>
      <c r="C16" s="76"/>
      <c r="D16" s="76"/>
      <c r="E16" s="76"/>
      <c r="F16" s="76"/>
      <c r="G16" s="76" t="s">
        <v>3</v>
      </c>
      <c r="H16" s="85">
        <f>$B15</f>
        <v>-10</v>
      </c>
      <c r="I16" s="85">
        <f>$B15</f>
        <v>-10</v>
      </c>
      <c r="J16" s="85">
        <f>$B15</f>
        <v>-10</v>
      </c>
      <c r="K16" s="76"/>
      <c r="L16" s="76"/>
      <c r="M16" s="76"/>
      <c r="N16" s="78"/>
    </row>
    <row r="17" spans="1:14" x14ac:dyDescent="0.2">
      <c r="A17" s="75" t="s">
        <v>30</v>
      </c>
      <c r="B17" s="76" t="s">
        <v>17</v>
      </c>
      <c r="C17" s="93" t="s">
        <v>26</v>
      </c>
      <c r="D17" s="94" t="s">
        <v>29</v>
      </c>
      <c r="E17" s="95" t="s">
        <v>32</v>
      </c>
      <c r="F17" s="76"/>
      <c r="G17" s="87" t="s">
        <v>21</v>
      </c>
      <c r="H17" s="88">
        <f>H15+H16</f>
        <v>173</v>
      </c>
      <c r="I17" s="88">
        <f>I15+I16</f>
        <v>133</v>
      </c>
      <c r="J17" s="88">
        <f>J15+J16</f>
        <v>153</v>
      </c>
      <c r="K17" s="76"/>
      <c r="L17" s="76"/>
      <c r="M17" s="76"/>
      <c r="N17" s="78"/>
    </row>
    <row r="18" spans="1:14" x14ac:dyDescent="0.2">
      <c r="A18" s="83">
        <v>172</v>
      </c>
      <c r="B18" s="85">
        <f>$B15</f>
        <v>-10</v>
      </c>
      <c r="C18" s="85">
        <f>$C15</f>
        <v>3.82</v>
      </c>
      <c r="D18" s="84">
        <v>2.67</v>
      </c>
      <c r="E18" s="85">
        <f>A18+B18-C18+D18</f>
        <v>160.85</v>
      </c>
      <c r="F18" s="76"/>
      <c r="G18" s="76" t="s">
        <v>33</v>
      </c>
      <c r="H18" s="85">
        <f>$C15</f>
        <v>3.82</v>
      </c>
      <c r="I18" s="85">
        <f>$C15</f>
        <v>3.82</v>
      </c>
      <c r="J18" s="85">
        <f>$C15</f>
        <v>3.82</v>
      </c>
      <c r="K18" s="76"/>
      <c r="L18" s="76"/>
      <c r="M18" s="76"/>
      <c r="N18" s="78"/>
    </row>
    <row r="19" spans="1:14" x14ac:dyDescent="0.2">
      <c r="A19" s="79"/>
      <c r="B19" s="76"/>
      <c r="C19" s="76"/>
      <c r="D19" s="76"/>
      <c r="E19" s="76"/>
      <c r="F19" s="76"/>
      <c r="G19" s="76" t="s">
        <v>34</v>
      </c>
      <c r="H19" s="85">
        <f>IF(H15&lt;$A15,$A15-H15,0)</f>
        <v>0</v>
      </c>
      <c r="I19" s="85">
        <f>IF(I15&lt;$A15,$A15-I15,0)</f>
        <v>11</v>
      </c>
      <c r="J19" s="85">
        <f>IF(J15&lt;$A15,$A15-J15,0)</f>
        <v>0</v>
      </c>
      <c r="K19" s="76"/>
      <c r="L19" s="76"/>
      <c r="M19" s="76"/>
      <c r="N19" s="78"/>
    </row>
    <row r="20" spans="1:14" x14ac:dyDescent="0.2">
      <c r="A20" s="79"/>
      <c r="B20" s="76"/>
      <c r="C20" s="76"/>
      <c r="D20" s="76"/>
      <c r="E20" s="76"/>
      <c r="F20" s="76"/>
      <c r="G20" s="76" t="s">
        <v>35</v>
      </c>
      <c r="H20" s="85">
        <f>$D15</f>
        <v>2.67</v>
      </c>
      <c r="I20" s="85">
        <f>$D15</f>
        <v>2.67</v>
      </c>
      <c r="J20" s="85">
        <f>$D15</f>
        <v>2.67</v>
      </c>
      <c r="K20" s="76"/>
      <c r="L20" s="76"/>
      <c r="M20" s="76"/>
      <c r="N20" s="78"/>
    </row>
    <row r="21" spans="1:14" x14ac:dyDescent="0.2">
      <c r="A21" s="79"/>
      <c r="B21" s="76"/>
      <c r="C21" s="76"/>
      <c r="D21" s="76"/>
      <c r="E21" s="76"/>
      <c r="F21" s="76"/>
      <c r="G21" s="95" t="s">
        <v>53</v>
      </c>
      <c r="H21" s="85">
        <f>IF(A18&gt;$A15,$A18-H15,0)</f>
        <v>-11</v>
      </c>
      <c r="I21" s="85">
        <f>IF(B18&gt;$A15,$A18-I15,0)</f>
        <v>0</v>
      </c>
      <c r="J21" s="85">
        <f>IF(C18&gt;$A15,$A18-J15,0)</f>
        <v>0</v>
      </c>
      <c r="K21" s="76"/>
      <c r="L21" s="76"/>
      <c r="M21" s="76"/>
      <c r="N21" s="78"/>
    </row>
    <row r="22" spans="1:14" x14ac:dyDescent="0.2">
      <c r="A22" s="79"/>
      <c r="B22" s="76"/>
      <c r="C22" s="76"/>
      <c r="D22" s="76"/>
      <c r="E22" s="76"/>
      <c r="F22" s="76"/>
      <c r="G22" s="87" t="s">
        <v>23</v>
      </c>
      <c r="H22" s="88">
        <f>H17-H18+H19+H20+H21</f>
        <v>160.85</v>
      </c>
      <c r="I22" s="88">
        <f>I17-I18+I19+I20+I21</f>
        <v>142.85</v>
      </c>
      <c r="J22" s="88">
        <f>J17-J18+J19+J20+J21</f>
        <v>151.85</v>
      </c>
      <c r="K22" s="76"/>
      <c r="L22" s="76"/>
      <c r="M22" s="76"/>
      <c r="N22" s="78"/>
    </row>
    <row r="23" spans="1:14" x14ac:dyDescent="0.2">
      <c r="A23" s="79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8"/>
    </row>
    <row r="24" spans="1:14" ht="13.5" thickBo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</row>
  </sheetData>
  <mergeCells count="1">
    <mergeCell ref="L2:M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26"/>
  <sheetViews>
    <sheetView zoomScaleNormal="100" workbookViewId="0">
      <selection activeCell="E4" sqref="E4"/>
    </sheetView>
  </sheetViews>
  <sheetFormatPr defaultRowHeight="12.75" x14ac:dyDescent="0.2"/>
  <cols>
    <col min="1" max="3" width="9.140625" style="7"/>
    <col min="4" max="4" width="6.28515625" style="7" bestFit="1" customWidth="1"/>
    <col min="5" max="6" width="9.140625" style="7"/>
    <col min="7" max="7" width="9" style="7" bestFit="1" customWidth="1"/>
    <col min="8" max="16384" width="9.140625" style="7"/>
  </cols>
  <sheetData>
    <row r="2" spans="1:12" s="5" customFormat="1" x14ac:dyDescent="0.2">
      <c r="A2" s="8" t="s">
        <v>6</v>
      </c>
      <c r="B2" s="16" t="s">
        <v>92</v>
      </c>
      <c r="C2" s="7"/>
      <c r="E2" s="5" t="s">
        <v>0</v>
      </c>
      <c r="F2" s="5" t="s">
        <v>7</v>
      </c>
      <c r="H2" s="5" t="s">
        <v>1</v>
      </c>
      <c r="I2" s="5" t="s">
        <v>1</v>
      </c>
      <c r="J2" s="5" t="s">
        <v>1</v>
      </c>
      <c r="K2" s="6" t="s">
        <v>10</v>
      </c>
      <c r="L2" s="6" t="s">
        <v>11</v>
      </c>
    </row>
    <row r="3" spans="1:12" x14ac:dyDescent="0.2">
      <c r="A3" s="8" t="s">
        <v>2</v>
      </c>
      <c r="B3" s="1">
        <v>162.25</v>
      </c>
      <c r="D3" s="8" t="s">
        <v>3</v>
      </c>
      <c r="E3" s="1">
        <v>-10</v>
      </c>
      <c r="G3" s="8" t="s">
        <v>4</v>
      </c>
      <c r="H3" s="35">
        <v>158</v>
      </c>
      <c r="I3" s="35">
        <v>154</v>
      </c>
      <c r="J3" s="35">
        <v>150</v>
      </c>
      <c r="K3" s="34">
        <f>I3</f>
        <v>154</v>
      </c>
      <c r="L3" s="34">
        <f>I3</f>
        <v>154</v>
      </c>
    </row>
    <row r="4" spans="1:12" x14ac:dyDescent="0.2">
      <c r="G4" s="8" t="s">
        <v>5</v>
      </c>
      <c r="H4" s="3">
        <v>4.8</v>
      </c>
      <c r="I4" s="3">
        <v>3.45</v>
      </c>
      <c r="J4" s="3">
        <v>2.42</v>
      </c>
      <c r="K4" s="9">
        <f>I4</f>
        <v>3.45</v>
      </c>
      <c r="L4" s="9">
        <f>I4</f>
        <v>3.45</v>
      </c>
    </row>
    <row r="5" spans="1:12" x14ac:dyDescent="0.2">
      <c r="B5" s="5" t="s">
        <v>8</v>
      </c>
      <c r="C5" s="5" t="s">
        <v>9</v>
      </c>
      <c r="G5" s="8" t="s">
        <v>4</v>
      </c>
      <c r="K5" s="35">
        <v>170</v>
      </c>
      <c r="L5" s="35">
        <v>172</v>
      </c>
    </row>
    <row r="6" spans="1:12" x14ac:dyDescent="0.2">
      <c r="G6" s="8" t="s">
        <v>5</v>
      </c>
      <c r="K6" s="3">
        <v>3.25</v>
      </c>
      <c r="L6" s="3">
        <v>2.67</v>
      </c>
    </row>
    <row r="7" spans="1:12" x14ac:dyDescent="0.2">
      <c r="G7" s="8"/>
      <c r="K7" s="4"/>
      <c r="L7" s="4"/>
    </row>
    <row r="8" spans="1:12" x14ac:dyDescent="0.2">
      <c r="B8" s="9">
        <f t="shared" ref="B8:B15" si="0">B9-$B$26</f>
        <v>146.25</v>
      </c>
      <c r="C8" s="9">
        <f>ROUND(B8+C$26,2)</f>
        <v>146</v>
      </c>
      <c r="D8" s="9"/>
      <c r="E8" s="9">
        <f>C8+$E$3</f>
        <v>136</v>
      </c>
      <c r="F8" s="9">
        <f>$B$3+$E$3</f>
        <v>152.25</v>
      </c>
      <c r="G8" s="9"/>
      <c r="H8" s="9">
        <f t="shared" ref="H8:J10" si="1">MAX($E8-H$4,H$3+$E$3-H$4)</f>
        <v>143.19999999999999</v>
      </c>
      <c r="I8" s="9">
        <f t="shared" si="1"/>
        <v>140.55000000000001</v>
      </c>
      <c r="J8" s="9">
        <f t="shared" si="1"/>
        <v>137.58000000000001</v>
      </c>
      <c r="K8" s="9">
        <f t="shared" ref="K8:L10" si="2">IF($C8&lt;K$3,K$3+$E$3-K$4+K$6,IF($C8&gt;K$5,K$5+$E$3-K$4+K$6,$E8-K$4+K$6))</f>
        <v>143.80000000000001</v>
      </c>
      <c r="L8" s="9">
        <f t="shared" si="2"/>
        <v>143.22</v>
      </c>
    </row>
    <row r="9" spans="1:12" x14ac:dyDescent="0.2">
      <c r="B9" s="9">
        <f t="shared" si="0"/>
        <v>148.25</v>
      </c>
      <c r="C9" s="9">
        <f>ROUND(B9+C$26,2)</f>
        <v>148</v>
      </c>
      <c r="D9" s="9"/>
      <c r="E9" s="9">
        <f>C9+$E$3</f>
        <v>138</v>
      </c>
      <c r="F9" s="9">
        <f>$B$3+$E$3</f>
        <v>152.25</v>
      </c>
      <c r="G9" s="9"/>
      <c r="H9" s="9">
        <f t="shared" si="1"/>
        <v>143.19999999999999</v>
      </c>
      <c r="I9" s="9">
        <f t="shared" si="1"/>
        <v>140.55000000000001</v>
      </c>
      <c r="J9" s="9">
        <f t="shared" si="1"/>
        <v>137.58000000000001</v>
      </c>
      <c r="K9" s="9">
        <f t="shared" si="2"/>
        <v>143.80000000000001</v>
      </c>
      <c r="L9" s="9">
        <f t="shared" si="2"/>
        <v>143.22</v>
      </c>
    </row>
    <row r="10" spans="1:12" x14ac:dyDescent="0.2">
      <c r="B10" s="9">
        <f t="shared" si="0"/>
        <v>150.25</v>
      </c>
      <c r="C10" s="9">
        <f>ROUND(B10+C$26,2)</f>
        <v>150</v>
      </c>
      <c r="D10" s="9"/>
      <c r="E10" s="9">
        <f>C10+$E$3</f>
        <v>140</v>
      </c>
      <c r="F10" s="9">
        <f>$B$3+$E$3</f>
        <v>152.25</v>
      </c>
      <c r="G10" s="9"/>
      <c r="H10" s="9">
        <f t="shared" si="1"/>
        <v>143.19999999999999</v>
      </c>
      <c r="I10" s="9">
        <f t="shared" si="1"/>
        <v>140.55000000000001</v>
      </c>
      <c r="J10" s="9">
        <f t="shared" si="1"/>
        <v>137.58000000000001</v>
      </c>
      <c r="K10" s="9">
        <f t="shared" si="2"/>
        <v>143.80000000000001</v>
      </c>
      <c r="L10" s="9">
        <f t="shared" si="2"/>
        <v>143.22</v>
      </c>
    </row>
    <row r="11" spans="1:12" x14ac:dyDescent="0.2">
      <c r="B11" s="9">
        <f t="shared" si="0"/>
        <v>152.25</v>
      </c>
      <c r="C11" s="9">
        <f>ROUND(B11+C$26,2)</f>
        <v>152</v>
      </c>
      <c r="D11" s="9"/>
      <c r="E11" s="9">
        <f>C11+$E$3</f>
        <v>142</v>
      </c>
      <c r="F11" s="9">
        <f>$B$3+$E$3</f>
        <v>152.25</v>
      </c>
      <c r="G11" s="9"/>
      <c r="H11" s="9">
        <f>MAX($E11-H$4,H$3+$E$3-H$4)</f>
        <v>143.19999999999999</v>
      </c>
      <c r="I11" s="9">
        <f>MAX($E11-I$4,I$3+$E$3-I$4)</f>
        <v>140.55000000000001</v>
      </c>
      <c r="J11" s="9">
        <f>MAX($E11-J$4,J$3+$E$3-J$4)</f>
        <v>139.58000000000001</v>
      </c>
      <c r="K11" s="9">
        <f>IF($C11&lt;K$3,K$3+$E$3-K$4+K$6,IF($C11&gt;K$5,K$5+$E$3-K$4+K$6,$E11-K$4+K$6))</f>
        <v>143.80000000000001</v>
      </c>
      <c r="L11" s="9">
        <f>IF($C11&lt;L$3,L$3+$E$3-L$4+L$6,IF($C11&gt;L$5,L$5+$E$3-L$4+L$6,$E11-L$4+L$6))</f>
        <v>143.22</v>
      </c>
    </row>
    <row r="12" spans="1:12" x14ac:dyDescent="0.2">
      <c r="B12" s="9">
        <f t="shared" si="0"/>
        <v>154.25</v>
      </c>
      <c r="C12" s="9">
        <f t="shared" ref="C12:C24" si="3">ROUND(B12+C$26,2)</f>
        <v>154</v>
      </c>
      <c r="D12" s="9"/>
      <c r="E12" s="9">
        <f t="shared" ref="E12:E21" si="4">C12+$E$3</f>
        <v>144</v>
      </c>
      <c r="F12" s="9">
        <f t="shared" ref="F12:F24" si="5">$B$3+$E$3</f>
        <v>152.25</v>
      </c>
      <c r="G12" s="9"/>
      <c r="H12" s="9">
        <f t="shared" ref="H12:J24" si="6">MAX($E12-H$4,H$3+$E$3-H$4)</f>
        <v>143.19999999999999</v>
      </c>
      <c r="I12" s="9">
        <f>MAX($E12-I$4,I$3+$E$3-I$4)</f>
        <v>140.55000000000001</v>
      </c>
      <c r="J12" s="9">
        <f>MAX($E12-J$4,J$3+$E$3-J$4)</f>
        <v>141.58000000000001</v>
      </c>
      <c r="K12" s="9">
        <f t="shared" ref="K12:L24" si="7">IF($C12&lt;K$3,K$3+$E$3-K$4+K$6,IF($C12&gt;K$5,K$5+$E$3-K$4+K$6,$E12-K$4+K$6))</f>
        <v>143.80000000000001</v>
      </c>
      <c r="L12" s="9">
        <f t="shared" si="7"/>
        <v>143.22</v>
      </c>
    </row>
    <row r="13" spans="1:12" x14ac:dyDescent="0.2">
      <c r="B13" s="9">
        <f t="shared" si="0"/>
        <v>156.25</v>
      </c>
      <c r="C13" s="9">
        <f t="shared" si="3"/>
        <v>156</v>
      </c>
      <c r="D13" s="9"/>
      <c r="E13" s="9">
        <f t="shared" si="4"/>
        <v>146</v>
      </c>
      <c r="F13" s="9">
        <f t="shared" si="5"/>
        <v>152.25</v>
      </c>
      <c r="G13" s="9"/>
      <c r="H13" s="9">
        <f t="shared" si="6"/>
        <v>143.19999999999999</v>
      </c>
      <c r="I13" s="9">
        <f t="shared" si="6"/>
        <v>142.55000000000001</v>
      </c>
      <c r="J13" s="9">
        <f t="shared" si="6"/>
        <v>143.58000000000001</v>
      </c>
      <c r="K13" s="9">
        <f t="shared" si="7"/>
        <v>145.80000000000001</v>
      </c>
      <c r="L13" s="9">
        <f t="shared" si="7"/>
        <v>145.22</v>
      </c>
    </row>
    <row r="14" spans="1:12" x14ac:dyDescent="0.2">
      <c r="B14" s="9">
        <f t="shared" si="0"/>
        <v>158.25</v>
      </c>
      <c r="C14" s="9">
        <f t="shared" si="3"/>
        <v>158</v>
      </c>
      <c r="D14" s="9"/>
      <c r="E14" s="9">
        <f t="shared" si="4"/>
        <v>148</v>
      </c>
      <c r="F14" s="9">
        <f t="shared" si="5"/>
        <v>152.25</v>
      </c>
      <c r="G14" s="9"/>
      <c r="H14" s="9">
        <f t="shared" si="6"/>
        <v>143.19999999999999</v>
      </c>
      <c r="I14" s="9">
        <f t="shared" si="6"/>
        <v>144.55000000000001</v>
      </c>
      <c r="J14" s="9">
        <f t="shared" si="6"/>
        <v>145.58000000000001</v>
      </c>
      <c r="K14" s="9">
        <f t="shared" si="7"/>
        <v>147.80000000000001</v>
      </c>
      <c r="L14" s="9">
        <f t="shared" si="7"/>
        <v>147.22</v>
      </c>
    </row>
    <row r="15" spans="1:12" x14ac:dyDescent="0.2">
      <c r="B15" s="9">
        <f t="shared" si="0"/>
        <v>160.25</v>
      </c>
      <c r="C15" s="9">
        <f t="shared" si="3"/>
        <v>160</v>
      </c>
      <c r="D15" s="9"/>
      <c r="E15" s="9">
        <f t="shared" si="4"/>
        <v>150</v>
      </c>
      <c r="F15" s="9">
        <f t="shared" si="5"/>
        <v>152.25</v>
      </c>
      <c r="G15" s="9"/>
      <c r="H15" s="9">
        <f t="shared" si="6"/>
        <v>145.19999999999999</v>
      </c>
      <c r="I15" s="9">
        <f t="shared" si="6"/>
        <v>146.55000000000001</v>
      </c>
      <c r="J15" s="9">
        <f t="shared" si="6"/>
        <v>147.58000000000001</v>
      </c>
      <c r="K15" s="9">
        <f t="shared" si="7"/>
        <v>149.80000000000001</v>
      </c>
      <c r="L15" s="9">
        <f t="shared" si="7"/>
        <v>149.22</v>
      </c>
    </row>
    <row r="16" spans="1:12" x14ac:dyDescent="0.2">
      <c r="B16" s="9">
        <f>B3</f>
        <v>162.25</v>
      </c>
      <c r="C16" s="9">
        <f t="shared" si="3"/>
        <v>162</v>
      </c>
      <c r="D16" s="9"/>
      <c r="E16" s="9">
        <f t="shared" si="4"/>
        <v>152</v>
      </c>
      <c r="F16" s="9">
        <f>$B$3+$E$3</f>
        <v>152.25</v>
      </c>
      <c r="G16" s="9"/>
      <c r="H16" s="9">
        <f>MAX($E16-H$4,H$3+$E$3-H$4)</f>
        <v>147.19999999999999</v>
      </c>
      <c r="I16" s="9">
        <f t="shared" si="6"/>
        <v>148.55000000000001</v>
      </c>
      <c r="J16" s="9">
        <f t="shared" si="6"/>
        <v>149.58000000000001</v>
      </c>
      <c r="K16" s="9">
        <f t="shared" si="7"/>
        <v>151.80000000000001</v>
      </c>
      <c r="L16" s="9">
        <f t="shared" si="7"/>
        <v>151.22</v>
      </c>
    </row>
    <row r="17" spans="1:12" x14ac:dyDescent="0.2">
      <c r="B17" s="9">
        <f t="shared" ref="B17:B24" si="8">B16+$B$26</f>
        <v>164.25</v>
      </c>
      <c r="C17" s="9">
        <f t="shared" si="3"/>
        <v>164</v>
      </c>
      <c r="D17" s="9"/>
      <c r="E17" s="9">
        <f t="shared" si="4"/>
        <v>154</v>
      </c>
      <c r="F17" s="9">
        <f t="shared" si="5"/>
        <v>152.25</v>
      </c>
      <c r="G17" s="9"/>
      <c r="H17" s="9">
        <f t="shared" si="6"/>
        <v>149.19999999999999</v>
      </c>
      <c r="I17" s="9">
        <f t="shared" si="6"/>
        <v>150.55000000000001</v>
      </c>
      <c r="J17" s="9">
        <f t="shared" si="6"/>
        <v>151.58000000000001</v>
      </c>
      <c r="K17" s="9">
        <f t="shared" si="7"/>
        <v>153.80000000000001</v>
      </c>
      <c r="L17" s="9">
        <f t="shared" si="7"/>
        <v>153.22</v>
      </c>
    </row>
    <row r="18" spans="1:12" x14ac:dyDescent="0.2">
      <c r="B18" s="9">
        <f t="shared" si="8"/>
        <v>166.25</v>
      </c>
      <c r="C18" s="9">
        <f t="shared" si="3"/>
        <v>166</v>
      </c>
      <c r="D18" s="9"/>
      <c r="E18" s="9">
        <f t="shared" si="4"/>
        <v>156</v>
      </c>
      <c r="F18" s="9">
        <f t="shared" si="5"/>
        <v>152.25</v>
      </c>
      <c r="G18" s="9"/>
      <c r="H18" s="9">
        <f t="shared" si="6"/>
        <v>151.19999999999999</v>
      </c>
      <c r="I18" s="9">
        <f t="shared" si="6"/>
        <v>152.55000000000001</v>
      </c>
      <c r="J18" s="9">
        <f t="shared" si="6"/>
        <v>153.58000000000001</v>
      </c>
      <c r="K18" s="9">
        <f t="shared" si="7"/>
        <v>155.80000000000001</v>
      </c>
      <c r="L18" s="9">
        <f t="shared" si="7"/>
        <v>155.22</v>
      </c>
    </row>
    <row r="19" spans="1:12" x14ac:dyDescent="0.2">
      <c r="B19" s="9">
        <f t="shared" si="8"/>
        <v>168.25</v>
      </c>
      <c r="C19" s="9">
        <f t="shared" si="3"/>
        <v>168</v>
      </c>
      <c r="D19" s="9"/>
      <c r="E19" s="9">
        <f t="shared" si="4"/>
        <v>158</v>
      </c>
      <c r="F19" s="9">
        <f t="shared" si="5"/>
        <v>152.25</v>
      </c>
      <c r="G19" s="9"/>
      <c r="H19" s="9">
        <f t="shared" si="6"/>
        <v>153.19999999999999</v>
      </c>
      <c r="I19" s="9">
        <f t="shared" si="6"/>
        <v>154.55000000000001</v>
      </c>
      <c r="J19" s="9">
        <f t="shared" si="6"/>
        <v>155.58000000000001</v>
      </c>
      <c r="K19" s="9">
        <f t="shared" si="7"/>
        <v>157.80000000000001</v>
      </c>
      <c r="L19" s="9">
        <f t="shared" si="7"/>
        <v>157.22</v>
      </c>
    </row>
    <row r="20" spans="1:12" x14ac:dyDescent="0.2">
      <c r="B20" s="9">
        <f t="shared" si="8"/>
        <v>170.25</v>
      </c>
      <c r="C20" s="9">
        <f t="shared" si="3"/>
        <v>170</v>
      </c>
      <c r="D20" s="9"/>
      <c r="E20" s="9">
        <f t="shared" si="4"/>
        <v>160</v>
      </c>
      <c r="F20" s="9">
        <f t="shared" si="5"/>
        <v>152.25</v>
      </c>
      <c r="G20" s="9"/>
      <c r="H20" s="9">
        <f t="shared" si="6"/>
        <v>155.19999999999999</v>
      </c>
      <c r="I20" s="9">
        <f t="shared" si="6"/>
        <v>156.55000000000001</v>
      </c>
      <c r="J20" s="9">
        <f t="shared" si="6"/>
        <v>157.58000000000001</v>
      </c>
      <c r="K20" s="9">
        <f t="shared" si="7"/>
        <v>159.80000000000001</v>
      </c>
      <c r="L20" s="9">
        <f t="shared" si="7"/>
        <v>159.22</v>
      </c>
    </row>
    <row r="21" spans="1:12" x14ac:dyDescent="0.2">
      <c r="B21" s="9">
        <f t="shared" si="8"/>
        <v>172.25</v>
      </c>
      <c r="C21" s="9">
        <f t="shared" si="3"/>
        <v>172</v>
      </c>
      <c r="D21" s="9"/>
      <c r="E21" s="9">
        <f t="shared" si="4"/>
        <v>162</v>
      </c>
      <c r="F21" s="9">
        <f t="shared" si="5"/>
        <v>152.25</v>
      </c>
      <c r="G21" s="9"/>
      <c r="H21" s="9">
        <f t="shared" si="6"/>
        <v>157.19999999999999</v>
      </c>
      <c r="I21" s="9">
        <f t="shared" si="6"/>
        <v>158.55000000000001</v>
      </c>
      <c r="J21" s="9">
        <f t="shared" si="6"/>
        <v>159.58000000000001</v>
      </c>
      <c r="K21" s="9">
        <f t="shared" si="7"/>
        <v>159.80000000000001</v>
      </c>
      <c r="L21" s="9">
        <f t="shared" si="7"/>
        <v>161.22</v>
      </c>
    </row>
    <row r="22" spans="1:12" x14ac:dyDescent="0.2">
      <c r="B22" s="9">
        <f t="shared" si="8"/>
        <v>174.25</v>
      </c>
      <c r="C22" s="9">
        <f t="shared" si="3"/>
        <v>174</v>
      </c>
      <c r="D22" s="9"/>
      <c r="E22" s="9">
        <f>C22+$E$3</f>
        <v>164</v>
      </c>
      <c r="F22" s="9">
        <f t="shared" si="5"/>
        <v>152.25</v>
      </c>
      <c r="G22" s="9"/>
      <c r="H22" s="9">
        <f t="shared" si="6"/>
        <v>159.19999999999999</v>
      </c>
      <c r="I22" s="9">
        <f t="shared" si="6"/>
        <v>160.55000000000001</v>
      </c>
      <c r="J22" s="9">
        <f t="shared" si="6"/>
        <v>161.58000000000001</v>
      </c>
      <c r="K22" s="9">
        <f t="shared" si="7"/>
        <v>159.80000000000001</v>
      </c>
      <c r="L22" s="9">
        <f t="shared" si="7"/>
        <v>161.22</v>
      </c>
    </row>
    <row r="23" spans="1:12" x14ac:dyDescent="0.2">
      <c r="B23" s="9">
        <f t="shared" si="8"/>
        <v>176.25</v>
      </c>
      <c r="C23" s="9">
        <f t="shared" si="3"/>
        <v>176</v>
      </c>
      <c r="D23" s="9"/>
      <c r="E23" s="9">
        <f>C23+$E$3</f>
        <v>166</v>
      </c>
      <c r="F23" s="9">
        <f t="shared" si="5"/>
        <v>152.25</v>
      </c>
      <c r="G23" s="9"/>
      <c r="H23" s="9">
        <f t="shared" si="6"/>
        <v>161.19999999999999</v>
      </c>
      <c r="I23" s="9">
        <f t="shared" si="6"/>
        <v>162.55000000000001</v>
      </c>
      <c r="J23" s="9">
        <f t="shared" si="6"/>
        <v>163.58000000000001</v>
      </c>
      <c r="K23" s="9">
        <f t="shared" si="7"/>
        <v>159.80000000000001</v>
      </c>
      <c r="L23" s="9">
        <f t="shared" si="7"/>
        <v>161.22</v>
      </c>
    </row>
    <row r="24" spans="1:12" x14ac:dyDescent="0.2">
      <c r="B24" s="9">
        <f t="shared" si="8"/>
        <v>178.25</v>
      </c>
      <c r="C24" s="9">
        <f t="shared" si="3"/>
        <v>178</v>
      </c>
      <c r="D24" s="9"/>
      <c r="E24" s="9">
        <f>C24+$E$3</f>
        <v>168</v>
      </c>
      <c r="F24" s="9">
        <f t="shared" si="5"/>
        <v>152.25</v>
      </c>
      <c r="G24" s="9"/>
      <c r="H24" s="9">
        <f t="shared" si="6"/>
        <v>163.19999999999999</v>
      </c>
      <c r="I24" s="9">
        <f t="shared" si="6"/>
        <v>164.55</v>
      </c>
      <c r="J24" s="9">
        <f t="shared" si="6"/>
        <v>165.58</v>
      </c>
      <c r="K24" s="9">
        <f t="shared" si="7"/>
        <v>159.80000000000001</v>
      </c>
      <c r="L24" s="9">
        <f t="shared" si="7"/>
        <v>161.22</v>
      </c>
    </row>
    <row r="26" spans="1:12" x14ac:dyDescent="0.2">
      <c r="A26" s="10" t="s">
        <v>46</v>
      </c>
      <c r="B26" s="3">
        <v>2</v>
      </c>
      <c r="C26" s="1">
        <v>-0.25</v>
      </c>
    </row>
  </sheetData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M36"/>
  <sheetViews>
    <sheetView zoomScale="120" zoomScaleNormal="120" workbookViewId="0">
      <selection activeCell="L12" sqref="L12"/>
    </sheetView>
  </sheetViews>
  <sheetFormatPr defaultRowHeight="12.75" x14ac:dyDescent="0.2"/>
  <cols>
    <col min="1" max="1" width="4.7109375" style="7" customWidth="1"/>
    <col min="2" max="2" width="16.7109375" style="7" customWidth="1"/>
    <col min="3" max="7" width="11.7109375" style="7" customWidth="1"/>
    <col min="8" max="8" width="4.7109375" style="7" customWidth="1"/>
    <col min="9" max="10" width="11.7109375" style="7" customWidth="1"/>
    <col min="11" max="11" width="9.140625" style="7"/>
    <col min="12" max="12" width="11.7109375" style="7" customWidth="1"/>
    <col min="13" max="16384" width="9.140625" style="7"/>
  </cols>
  <sheetData>
    <row r="2" spans="2:13" x14ac:dyDescent="0.2">
      <c r="C2" s="117" t="s">
        <v>84</v>
      </c>
      <c r="D2" s="117"/>
      <c r="E2" s="117"/>
      <c r="F2" s="117"/>
      <c r="G2" s="117"/>
      <c r="I2" s="117" t="s">
        <v>85</v>
      </c>
      <c r="J2" s="117"/>
    </row>
    <row r="3" spans="2:13" x14ac:dyDescent="0.2">
      <c r="B3" s="7" t="s">
        <v>74</v>
      </c>
      <c r="C3" s="14" t="s">
        <v>92</v>
      </c>
      <c r="D3" s="99" t="s">
        <v>92</v>
      </c>
      <c r="E3" s="99" t="s">
        <v>92</v>
      </c>
      <c r="F3" s="99" t="s">
        <v>92</v>
      </c>
      <c r="G3" s="99" t="s">
        <v>92</v>
      </c>
      <c r="I3" s="99" t="s">
        <v>92</v>
      </c>
      <c r="J3" s="99" t="s">
        <v>92</v>
      </c>
      <c r="L3" s="14" t="s">
        <v>86</v>
      </c>
    </row>
    <row r="4" spans="2:13" x14ac:dyDescent="0.2">
      <c r="B4" s="7" t="s">
        <v>77</v>
      </c>
      <c r="C4" s="36">
        <v>44500</v>
      </c>
      <c r="D4" s="52">
        <f>C4</f>
        <v>44500</v>
      </c>
      <c r="E4" s="52">
        <f>C4</f>
        <v>44500</v>
      </c>
      <c r="F4" s="52">
        <f>C4</f>
        <v>44500</v>
      </c>
      <c r="G4" s="52">
        <f>C4</f>
        <v>44500</v>
      </c>
      <c r="I4" s="36">
        <f>C4</f>
        <v>44500</v>
      </c>
      <c r="J4" s="36">
        <f>C4</f>
        <v>44500</v>
      </c>
      <c r="L4" s="36">
        <v>44500</v>
      </c>
    </row>
    <row r="5" spans="2:13" x14ac:dyDescent="0.2">
      <c r="B5" s="7" t="s">
        <v>20</v>
      </c>
      <c r="C5" s="1">
        <v>162.25</v>
      </c>
      <c r="D5" s="53">
        <f>C5</f>
        <v>162.25</v>
      </c>
      <c r="E5" s="53">
        <f>D5</f>
        <v>162.25</v>
      </c>
      <c r="F5" s="53">
        <f>E5</f>
        <v>162.25</v>
      </c>
      <c r="G5" s="53">
        <f>F5</f>
        <v>162.25</v>
      </c>
      <c r="I5" s="40">
        <v>170</v>
      </c>
      <c r="J5" s="40">
        <v>150</v>
      </c>
      <c r="L5" s="55">
        <v>162.25</v>
      </c>
    </row>
    <row r="7" spans="2:13" x14ac:dyDescent="0.2">
      <c r="B7" s="7" t="s">
        <v>75</v>
      </c>
      <c r="C7" s="36">
        <v>44317</v>
      </c>
      <c r="D7" s="39">
        <v>44348</v>
      </c>
      <c r="E7" s="39">
        <v>44378</v>
      </c>
      <c r="F7" s="39">
        <v>44409</v>
      </c>
      <c r="G7" s="39">
        <v>44440</v>
      </c>
      <c r="I7" s="36">
        <v>44378</v>
      </c>
      <c r="J7" s="36">
        <v>44378</v>
      </c>
      <c r="L7" s="36">
        <v>44378</v>
      </c>
    </row>
    <row r="8" spans="2:13" x14ac:dyDescent="0.2">
      <c r="B8" s="7" t="s">
        <v>76</v>
      </c>
      <c r="C8" s="34">
        <f>C4-C7</f>
        <v>183</v>
      </c>
      <c r="D8" s="34">
        <f>D4-D7</f>
        <v>152</v>
      </c>
      <c r="E8" s="34">
        <f>E4-E7</f>
        <v>122</v>
      </c>
      <c r="F8" s="34">
        <f>F4-F7</f>
        <v>91</v>
      </c>
      <c r="G8" s="34">
        <f>G4-G7</f>
        <v>60</v>
      </c>
      <c r="I8" s="34">
        <f>I4-I7</f>
        <v>122</v>
      </c>
      <c r="J8" s="34">
        <f>J4-J7</f>
        <v>122</v>
      </c>
      <c r="L8" s="34">
        <f>L4-L7</f>
        <v>122</v>
      </c>
    </row>
    <row r="10" spans="2:13" x14ac:dyDescent="0.2">
      <c r="B10" s="7" t="s">
        <v>12</v>
      </c>
      <c r="C10" s="1">
        <v>162</v>
      </c>
      <c r="D10" s="53">
        <f t="shared" ref="D10:G12" si="0">C10</f>
        <v>162</v>
      </c>
      <c r="E10" s="53">
        <f t="shared" si="0"/>
        <v>162</v>
      </c>
      <c r="F10" s="53">
        <f t="shared" si="0"/>
        <v>162</v>
      </c>
      <c r="G10" s="53">
        <f t="shared" si="0"/>
        <v>162</v>
      </c>
      <c r="I10" s="1">
        <v>162</v>
      </c>
      <c r="J10" s="1">
        <v>162</v>
      </c>
      <c r="L10" s="1">
        <v>162</v>
      </c>
    </row>
    <row r="11" spans="2:13" x14ac:dyDescent="0.2">
      <c r="B11" s="7" t="s">
        <v>78</v>
      </c>
      <c r="C11" s="1">
        <v>1.3999999999999999E-4</v>
      </c>
      <c r="D11" s="53">
        <f t="shared" si="0"/>
        <v>1.3999999999999999E-4</v>
      </c>
      <c r="E11" s="53">
        <f t="shared" si="0"/>
        <v>1.3999999999999999E-4</v>
      </c>
      <c r="F11" s="53">
        <f t="shared" si="0"/>
        <v>1.3999999999999999E-4</v>
      </c>
      <c r="G11" s="53">
        <f t="shared" si="0"/>
        <v>1.3999999999999999E-4</v>
      </c>
      <c r="I11" s="53">
        <f>$L$11</f>
        <v>6.9999999999999994E-5</v>
      </c>
      <c r="J11" s="53">
        <f>$L$11</f>
        <v>6.9999999999999994E-5</v>
      </c>
      <c r="L11" s="47">
        <v>6.9999999999999994E-5</v>
      </c>
      <c r="M11" s="96">
        <f>0.025/360</f>
        <v>6.9444444444444444E-5</v>
      </c>
    </row>
    <row r="12" spans="2:13" x14ac:dyDescent="0.2">
      <c r="B12" s="7" t="s">
        <v>79</v>
      </c>
      <c r="C12" s="1">
        <v>0.17599999999999999</v>
      </c>
      <c r="D12" s="53">
        <f t="shared" si="0"/>
        <v>0.17599999999999999</v>
      </c>
      <c r="E12" s="53">
        <f t="shared" si="0"/>
        <v>0.17599999999999999</v>
      </c>
      <c r="F12" s="53">
        <f t="shared" si="0"/>
        <v>0.17599999999999999</v>
      </c>
      <c r="G12" s="53">
        <f t="shared" si="0"/>
        <v>0.17599999999999999</v>
      </c>
      <c r="I12" s="1">
        <v>0.17599999999999999</v>
      </c>
      <c r="J12" s="1">
        <v>0.17599999999999999</v>
      </c>
      <c r="L12" s="46">
        <v>0.17649999999999999</v>
      </c>
    </row>
    <row r="14" spans="2:13" x14ac:dyDescent="0.2">
      <c r="B14" s="7" t="s">
        <v>80</v>
      </c>
      <c r="C14" s="38">
        <f>-EXP(-C11*C8)*(C5*NORMSDIST(-C17)-C10*NORMSDIST(-C18))</f>
        <v>7.7843705993677208</v>
      </c>
      <c r="D14" s="38">
        <f>-EXP(-D11*D8)*(D5*NORMSDIST(-D17)-D10*NORMSDIST(-D18))</f>
        <v>7.1153938816417943</v>
      </c>
      <c r="E14" s="38">
        <f>-EXP(-E11*E8)*(E5*NORMSDIST(-E17)-E10*NORMSDIST(-E18))</f>
        <v>6.3895436639923409</v>
      </c>
      <c r="F14" s="38">
        <f>-EXP(-F11*F8)*(F5*NORMSDIST(-F17)-F10*NORMSDIST(-F18))</f>
        <v>5.5263876695890817</v>
      </c>
      <c r="G14" s="38">
        <f>-EXP(-G11*G8)*(G5*NORMSDIST(-G17)-G10*NORMSDIST(-G18))</f>
        <v>4.4845028814389183</v>
      </c>
      <c r="I14" s="38">
        <f>-EXP(-I11*I8)*(I5*NORMSDIST(-I17)-I10*NORMSDIST(-I18))</f>
        <v>3.488465102075466</v>
      </c>
      <c r="J14" s="38">
        <f>-EXP(-J11*J8)*(J5*NORMSDIST(-J17)-J10*NORMSDIST(-J18))</f>
        <v>13.969354510260546</v>
      </c>
      <c r="L14" s="38">
        <f>-EXP(-L11*L8)*(L5*NORMSDIST(-L17)-L10*NORMSDIST(-L18))</f>
        <v>6.4629833134549903</v>
      </c>
      <c r="M14" s="7">
        <v>6.47</v>
      </c>
    </row>
    <row r="15" spans="2:13" x14ac:dyDescent="0.2">
      <c r="B15" s="7" t="s">
        <v>81</v>
      </c>
      <c r="C15" s="38">
        <f>EXP(-C11*C8)*(C5*NORMSDIST(C17)-C10*NORMSDIST(C18))</f>
        <v>8.0280469511923975</v>
      </c>
      <c r="D15" s="38">
        <f>EXP(-D11*D8)*(D5*NORMSDIST(D17)-D10*NORMSDIST(D18))</f>
        <v>7.3601300870520898</v>
      </c>
      <c r="E15" s="38">
        <f>EXP(-E11*E8)*(E5*NORMSDIST(E17)-E10*NORMSDIST(E18))</f>
        <v>6.6353099230638835</v>
      </c>
      <c r="F15" s="38">
        <f>EXP(-F11*F8)*(F5*NORMSDIST(F17)-F10*NORMSDIST(F18))</f>
        <v>5.7732228721545278</v>
      </c>
      <c r="G15" s="38">
        <f>EXP(-G11*G8)*(G5*NORMSDIST(G17)-G10*NORMSDIST(G18))</f>
        <v>4.7324116767946647</v>
      </c>
      <c r="I15" s="38">
        <f>EXP(-I11*I8)*(I5*NORMSDIST(I17)-I10*NORMSDIST(I18))</f>
        <v>11.420435999797636</v>
      </c>
      <c r="J15" s="38">
        <f>EXP(-J11*J8)*(J5*NORMSDIST(J17)-J10*NORMSDIST(J18))</f>
        <v>2.0713981636772938</v>
      </c>
      <c r="L15" s="38">
        <f>EXP(-L11*L8)*(L5*NORMSDIST(L17)-L10*NORMSDIST(L18))</f>
        <v>6.7108574040088218</v>
      </c>
      <c r="M15" s="7">
        <v>6.72</v>
      </c>
    </row>
    <row r="17" spans="2:12" hidden="1" x14ac:dyDescent="0.2">
      <c r="B17" s="7" t="s">
        <v>82</v>
      </c>
      <c r="C17" s="37">
        <f>(LN(C5/C10)+(C12^2*(C8/360))/2)/(C12*SQRT((C8/360)))</f>
        <v>7.5030419741030002E-2</v>
      </c>
      <c r="D17" s="37">
        <f>(LN(D5/D10)+(D12^2*(D8/360))/2)/(D12*SQRT((D8/360)))</f>
        <v>7.0664825587021418E-2</v>
      </c>
      <c r="E17" s="37">
        <f>(LN(E5/E10)+(E12^2*(E8/360))/2)/(E12*SQRT((E8/360)))</f>
        <v>6.6278889621211035E-2</v>
      </c>
      <c r="F17" s="37">
        <f>(LN(F5/F10)+(F12^2*(F8/360))/2)/(F12*SQRT((F8/360)))</f>
        <v>6.1670181760894872E-2</v>
      </c>
      <c r="G17" s="37">
        <f>(LN(G5/G10)+(G12^2*(G8/360))/2)/(G12*SQRT((G8/360)))</f>
        <v>5.7387003168400806E-2</v>
      </c>
      <c r="I17" s="37">
        <f>(LN(I5/I10)+(I12^2*(I8/360))/2)/(I12*SQRT((I8/360)))</f>
        <v>0.52169056450331519</v>
      </c>
      <c r="J17" s="37">
        <f>(LN(J5/J10)+(J12^2*(J8/360))/2)/(J12*SQRT((J8/360)))</f>
        <v>-0.69992660321746458</v>
      </c>
      <c r="L17" s="37">
        <f>(LN(L5/L10)+(L12^2*(L8/360))/2)/(L12*SQRT((L8/360)))</f>
        <v>6.6381789265428204E-2</v>
      </c>
    </row>
    <row r="18" spans="2:12" hidden="1" x14ac:dyDescent="0.2">
      <c r="B18" s="7" t="s">
        <v>83</v>
      </c>
      <c r="C18" s="37">
        <f>(LN(C5/C10)-(C12^2*(C8/360))/2)/(C12*SQRT((C8/360)))</f>
        <v>-5.0453178124720277E-2</v>
      </c>
      <c r="D18" s="37">
        <f>(LN(D5/D10)-(D12^2*(D8/360))/2)/(D12*SQRT((D8/360)))</f>
        <v>-4.3697561392070421E-2</v>
      </c>
      <c r="E18" s="37">
        <f>(LN(E5/E10)-(E12^2*(E8/360))/2)/(E12*SQRT((E8/360)))</f>
        <v>-3.617803899868377E-2</v>
      </c>
      <c r="F18" s="37">
        <f>(LN(F5/F10)-(F12^2*(F8/360))/2)/(F12*SQRT((F8/360)))</f>
        <v>-2.6817356595895465E-2</v>
      </c>
      <c r="G18" s="37">
        <f>(LN(G5/G10)-(G12^2*(G8/360))/2)/(G12*SQRT((G8/360)))</f>
        <v>-1.4464695953239078E-2</v>
      </c>
      <c r="I18" s="37">
        <f>(LN(I5/I10)-(I12^2*(I8/360))/2)/(I12*SQRT((I8/360)))</f>
        <v>0.41923363588342039</v>
      </c>
      <c r="J18" s="37">
        <f>(LN(J5/J10)-(J12^2*(J8/360))/2)/(J12*SQRT((J8/360)))</f>
        <v>-0.80238353183735944</v>
      </c>
      <c r="L18" s="37">
        <f>(LN(L5/L10)-(L12^2*(L8/360))/2)/(L12*SQRT((L8/360)))</f>
        <v>-3.6366210174409504E-2</v>
      </c>
    </row>
    <row r="20" spans="2:12" x14ac:dyDescent="0.2">
      <c r="C20" s="117" t="s">
        <v>87</v>
      </c>
      <c r="D20" s="117"/>
      <c r="E20" s="117"/>
      <c r="F20" s="117"/>
      <c r="G20" s="117"/>
    </row>
    <row r="21" spans="2:12" x14ac:dyDescent="0.2">
      <c r="B21" s="7" t="s">
        <v>74</v>
      </c>
      <c r="C21" s="99" t="s">
        <v>92</v>
      </c>
      <c r="D21" s="99" t="s">
        <v>92</v>
      </c>
      <c r="E21" s="99" t="s">
        <v>92</v>
      </c>
      <c r="F21" s="99" t="s">
        <v>92</v>
      </c>
      <c r="G21" s="99" t="s">
        <v>92</v>
      </c>
      <c r="I21" s="99" t="s">
        <v>92</v>
      </c>
      <c r="J21" s="99" t="s">
        <v>92</v>
      </c>
    </row>
    <row r="22" spans="2:12" x14ac:dyDescent="0.2">
      <c r="B22" s="7" t="s">
        <v>77</v>
      </c>
      <c r="C22" s="36">
        <v>44500</v>
      </c>
      <c r="D22" s="52">
        <f>C22</f>
        <v>44500</v>
      </c>
      <c r="E22" s="52">
        <f>C22</f>
        <v>44500</v>
      </c>
      <c r="F22" s="52">
        <f>C22</f>
        <v>44500</v>
      </c>
      <c r="G22" s="52">
        <f>C22</f>
        <v>44500</v>
      </c>
      <c r="I22" s="97">
        <f>C22</f>
        <v>44500</v>
      </c>
      <c r="J22" s="97">
        <f>C22</f>
        <v>44500</v>
      </c>
    </row>
    <row r="23" spans="2:12" x14ac:dyDescent="0.2">
      <c r="B23" s="7" t="s">
        <v>20</v>
      </c>
      <c r="C23" s="1">
        <v>162</v>
      </c>
      <c r="D23" s="53">
        <f>C23</f>
        <v>162</v>
      </c>
      <c r="E23" s="53">
        <f>D23</f>
        <v>162</v>
      </c>
      <c r="F23" s="53">
        <f>E23</f>
        <v>162</v>
      </c>
      <c r="G23" s="53">
        <f>F23</f>
        <v>162</v>
      </c>
      <c r="I23" s="40">
        <v>170</v>
      </c>
      <c r="J23" s="40">
        <v>150</v>
      </c>
    </row>
    <row r="25" spans="2:12" x14ac:dyDescent="0.2">
      <c r="B25" s="7" t="s">
        <v>75</v>
      </c>
      <c r="C25" s="36">
        <v>44317</v>
      </c>
      <c r="D25" s="39">
        <v>44348</v>
      </c>
      <c r="E25" s="39">
        <v>44378</v>
      </c>
      <c r="F25" s="39">
        <v>44409</v>
      </c>
      <c r="G25" s="39">
        <v>44440</v>
      </c>
      <c r="I25" s="36">
        <v>44378</v>
      </c>
      <c r="J25" s="36">
        <v>44378</v>
      </c>
    </row>
    <row r="26" spans="2:12" x14ac:dyDescent="0.2">
      <c r="B26" s="7" t="s">
        <v>76</v>
      </c>
      <c r="C26" s="34">
        <f>C22-C25</f>
        <v>183</v>
      </c>
      <c r="D26" s="34">
        <f>D22-D25</f>
        <v>152</v>
      </c>
      <c r="E26" s="34">
        <f>E22-E25</f>
        <v>122</v>
      </c>
      <c r="F26" s="34">
        <f>F22-F25</f>
        <v>91</v>
      </c>
      <c r="G26" s="34">
        <f>G22-G25</f>
        <v>60</v>
      </c>
      <c r="I26" s="34">
        <f>I22-I25</f>
        <v>122</v>
      </c>
      <c r="J26" s="34">
        <f>J22-J25</f>
        <v>122</v>
      </c>
    </row>
    <row r="28" spans="2:12" x14ac:dyDescent="0.2">
      <c r="B28" s="7" t="s">
        <v>12</v>
      </c>
      <c r="C28" s="1">
        <v>152</v>
      </c>
      <c r="D28" s="53">
        <f>C28</f>
        <v>152</v>
      </c>
      <c r="E28" s="53">
        <f>D28</f>
        <v>152</v>
      </c>
      <c r="F28" s="53">
        <f>E28</f>
        <v>152</v>
      </c>
      <c r="G28" s="53">
        <f>F28</f>
        <v>152</v>
      </c>
      <c r="I28" s="1">
        <v>152</v>
      </c>
      <c r="J28" s="1">
        <v>152</v>
      </c>
    </row>
    <row r="29" spans="2:12" x14ac:dyDescent="0.2">
      <c r="B29" s="7" t="s">
        <v>78</v>
      </c>
      <c r="C29" s="1">
        <f>$L$11</f>
        <v>6.9999999999999994E-5</v>
      </c>
      <c r="D29" s="53">
        <f>$L$11</f>
        <v>6.9999999999999994E-5</v>
      </c>
      <c r="E29" s="53">
        <f>$L$11</f>
        <v>6.9999999999999994E-5</v>
      </c>
      <c r="F29" s="53">
        <f>$L$11</f>
        <v>6.9999999999999994E-5</v>
      </c>
      <c r="G29" s="53">
        <f>$L$11</f>
        <v>6.9999999999999994E-5</v>
      </c>
      <c r="H29" s="53"/>
      <c r="I29" s="53">
        <f>$L$11</f>
        <v>6.9999999999999994E-5</v>
      </c>
      <c r="J29" s="53">
        <f>$L$11</f>
        <v>6.9999999999999994E-5</v>
      </c>
    </row>
    <row r="30" spans="2:12" x14ac:dyDescent="0.2">
      <c r="B30" s="7" t="s">
        <v>79</v>
      </c>
      <c r="C30" s="1">
        <v>0.17599999999999999</v>
      </c>
      <c r="D30" s="53">
        <f t="shared" ref="D30" si="1">C30</f>
        <v>0.17599999999999999</v>
      </c>
      <c r="E30" s="53">
        <f t="shared" ref="E30" si="2">D30</f>
        <v>0.17599999999999999</v>
      </c>
      <c r="F30" s="53">
        <f t="shared" ref="F30" si="3">E30</f>
        <v>0.17599999999999999</v>
      </c>
      <c r="G30" s="53">
        <f t="shared" ref="G30" si="4">F30</f>
        <v>0.17599999999999999</v>
      </c>
      <c r="I30" s="1">
        <v>0.17599999999999999</v>
      </c>
      <c r="J30" s="1">
        <v>0.17599999999999999</v>
      </c>
    </row>
    <row r="32" spans="2:12" x14ac:dyDescent="0.2">
      <c r="B32" s="7" t="s">
        <v>80</v>
      </c>
      <c r="C32" s="38">
        <f>-EXP(-C29*C26)*(C23*NORMSDIST(-C35)-C28*NORMSDIST(-C36))</f>
        <v>3.7950448393653438</v>
      </c>
      <c r="D32" s="38">
        <f>-EXP(-D29*D26)*(D23*NORMSDIST(-D35)-D28*NORMSDIST(-D36))</f>
        <v>3.2063613796457382</v>
      </c>
      <c r="E32" s="38">
        <f>-EXP(-E29*E26)*(E23*NORMSDIST(-E35)-E28*NORMSDIST(-E36))</f>
        <v>2.592550024461397</v>
      </c>
      <c r="F32" s="38">
        <f>-EXP(-F29*F26)*(F23*NORMSDIST(-F35)-F28*NORMSDIST(-F36))</f>
        <v>1.9042030444453679</v>
      </c>
      <c r="G32" s="38">
        <f>-EXP(-G29*G26)*(G23*NORMSDIST(-G35)-G28*NORMSDIST(-G36))</f>
        <v>1.1547665720769078</v>
      </c>
      <c r="I32" s="38">
        <f>-EXP(-I29*I26)*(I23*NORMSDIST(-I35)-I28*NORMSDIST(-I36))</f>
        <v>1.1366344014359815</v>
      </c>
      <c r="J32" s="38">
        <f>-EXP(-J29*J26)*(J23*NORMSDIST(-J35)-J28*NORMSDIST(-J36))</f>
        <v>7.1593674099013276</v>
      </c>
    </row>
    <row r="33" spans="2:10" x14ac:dyDescent="0.2">
      <c r="B33" s="7" t="s">
        <v>81</v>
      </c>
      <c r="C33" s="38">
        <f>EXP(-C29*C26)*(C23*NORMSDIST(C35)-C28*NORMSDIST(C36))</f>
        <v>13.667761827604721</v>
      </c>
      <c r="D33" s="38">
        <f>EXP(-D29*D26)*(D23*NORMSDIST(D35)-D28*NORMSDIST(D36))</f>
        <v>13.100525425390979</v>
      </c>
      <c r="E33" s="38">
        <f>EXP(-E29*E26)*(E23*NORMSDIST(E35)-E28*NORMSDIST(E36))</f>
        <v>12.507513646614093</v>
      </c>
      <c r="F33" s="38">
        <f>EXP(-F29*F26)*(F23*NORMSDIST(F35)-F28*NORMSDIST(F36))</f>
        <v>11.840705498839101</v>
      </c>
      <c r="G33" s="38">
        <f>EXP(-G29*G26)*(G23*NORMSDIST(G35)-G28*NORMSDIST(G36))</f>
        <v>11.112854648726463</v>
      </c>
      <c r="I33" s="38">
        <f>EXP(-I29*I26)*(I23*NORMSDIST(I35)-I28*NORMSDIST(I36))</f>
        <v>18.983568921310852</v>
      </c>
      <c r="J33" s="38">
        <f>EXP(-J29*J26)*(J23*NORMSDIST(J35)-J28*NORMSDIST(J36))</f>
        <v>5.1763746854707868</v>
      </c>
    </row>
    <row r="35" spans="2:10" hidden="1" x14ac:dyDescent="0.2">
      <c r="B35" s="7" t="s">
        <v>82</v>
      </c>
      <c r="C35" s="37">
        <f>(LN(C23/C28)+(C30^2*(C26/360))/2)/(C30*SQRT((C26/360)))</f>
        <v>0.5705038927028887</v>
      </c>
      <c r="D35" s="37">
        <f>(LN(D23/D28)+(D30^2*(D26/360))/2)/(D30*SQRT((D26/360)))</f>
        <v>0.61432079217382785</v>
      </c>
      <c r="E35" s="37">
        <f>(LN(E23/E28)+(E30^2*(E26/360))/2)/(E30*SQRT((E26/360)))</f>
        <v>0.67310748454182667</v>
      </c>
      <c r="F35" s="37">
        <f>(LN(F23/F28)+(F30^2*(F26/360))/2)/(F30*SQRT((F26/360)))</f>
        <v>0.76429786458332583</v>
      </c>
      <c r="G35" s="37">
        <f>(LN(G23/G28)+(G30^2*(G26/360))/2)/(G30*SQRT((G26/360)))</f>
        <v>0.92269422337813756</v>
      </c>
      <c r="I35" s="37">
        <f>(LN(I23/I28)+(I30^2*(I26/360))/2)/(I30*SQRT((I26/360)))</f>
        <v>1.1435695847351939</v>
      </c>
      <c r="J35" s="37">
        <f>(LN(J23/J28)+(J30^2*(J26/360))/2)/(J30*SQRT((J26/360)))</f>
        <v>-7.8047582985586658E-2</v>
      </c>
    </row>
    <row r="36" spans="2:10" hidden="1" x14ac:dyDescent="0.2">
      <c r="B36" s="7" t="s">
        <v>83</v>
      </c>
      <c r="C36" s="37">
        <f>(LN(C23/C28)-(C30^2*(C26/360))/2)/(C30*SQRT((C26/360)))</f>
        <v>0.44502029483713845</v>
      </c>
      <c r="D36" s="37">
        <f>(LN(D23/D28)-(D30^2*(D26/360))/2)/(D30*SQRT((D26/360)))</f>
        <v>0.49995840519473606</v>
      </c>
      <c r="E36" s="37">
        <f>(LN(E23/E28)-(E30^2*(E26/360))/2)/(E30*SQRT((E26/360)))</f>
        <v>0.57065055592193192</v>
      </c>
      <c r="F36" s="37">
        <f>(LN(F23/F28)-(F30^2*(F26/360))/2)/(F30*SQRT((F26/360)))</f>
        <v>0.67581032622653547</v>
      </c>
      <c r="G36" s="37">
        <f>(LN(G23/G28)-(G30^2*(G26/360))/2)/(G30*SQRT((G26/360)))</f>
        <v>0.85084252425649753</v>
      </c>
      <c r="I36" s="37">
        <f>(LN(I23/I28)-(I30^2*(I26/360))/2)/(I30*SQRT((I26/360)))</f>
        <v>1.041112656115299</v>
      </c>
      <c r="J36" s="37">
        <f>(LN(J23/J28)-(J30^2*(J26/360))/2)/(J30*SQRT((J26/360)))</f>
        <v>-0.18050451160548145</v>
      </c>
    </row>
  </sheetData>
  <mergeCells count="3">
    <mergeCell ref="C2:G2"/>
    <mergeCell ref="I2:J2"/>
    <mergeCell ref="C20:G20"/>
  </mergeCells>
  <phoneticPr fontId="0" type="noConversion"/>
  <pageMargins left="0.75" right="0.75" top="1" bottom="1" header="0.5" footer="0.5"/>
  <pageSetup scale="96" orientation="landscape" r:id="rId1"/>
  <headerFooter alignWithMargins="0"/>
  <ignoredErrors>
    <ignoredError sqref="D29:G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7826C5BA-4D9D-4931-9976-72A951A087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Instructions</vt:lpstr>
      <vt:lpstr>Option Values</vt:lpstr>
      <vt:lpstr>Work Put-Call</vt:lpstr>
      <vt:lpstr>Graph Put-Call Data</vt:lpstr>
      <vt:lpstr>Work Floor</vt:lpstr>
      <vt:lpstr>Work Fence</vt:lpstr>
      <vt:lpstr>Graphs Data</vt:lpstr>
      <vt:lpstr>BlackScholes</vt:lpstr>
      <vt:lpstr>Graph Put</vt:lpstr>
      <vt:lpstr>Graph Call</vt:lpstr>
      <vt:lpstr>Graph Floor</vt:lpstr>
      <vt:lpstr>Graph Fence</vt:lpstr>
      <vt:lpstr>'Work Fence'!Print_Area</vt:lpstr>
      <vt:lpstr>'Work Floor'!Print_Area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Koontz</dc:creator>
  <cp:lastModifiedBy>Koontz,Stephen</cp:lastModifiedBy>
  <cp:lastPrinted>2015-09-28T17:23:49Z</cp:lastPrinted>
  <dcterms:created xsi:type="dcterms:W3CDTF">2001-10-22T15:30:25Z</dcterms:created>
  <dcterms:modified xsi:type="dcterms:W3CDTF">2021-12-06T20:19:04Z</dcterms:modified>
</cp:coreProperties>
</file>