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9.xml" ContentType="application/vnd.openxmlformats-officedocument.spreadsheetml.comments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67" activeTab="0"/>
  </bookViews>
  <sheets>
    <sheet name="Instructions" sheetId="1" r:id="rId1"/>
    <sheet name="Option Values" sheetId="2" r:id="rId2"/>
    <sheet name="Work Put-Call" sheetId="3" r:id="rId3"/>
    <sheet name="Graph Put-Call Data" sheetId="4" r:id="rId4"/>
    <sheet name="Graph Put" sheetId="5" r:id="rId5"/>
    <sheet name="Graph Call" sheetId="6" r:id="rId6"/>
    <sheet name="Work Floor" sheetId="7" r:id="rId7"/>
    <sheet name="Work Fence" sheetId="8" r:id="rId8"/>
    <sheet name="Graphs Data" sheetId="9" r:id="rId9"/>
    <sheet name="Graph Floor" sheetId="10" r:id="rId10"/>
    <sheet name="Graph Fence" sheetId="11" r:id="rId11"/>
    <sheet name="BlackScholes" sheetId="12" r:id="rId12"/>
  </sheets>
  <definedNames>
    <definedName name="_xlnm.Print_Area" localSheetId="7">'Work Fence'!$A$1:$J$22</definedName>
    <definedName name="_xlnm.Print_Area" localSheetId="6">'Work Floor'!$A$1:$I$27</definedName>
  </definedNames>
  <calcPr fullCalcOnLoad="1"/>
</workbook>
</file>

<file path=xl/comments2.xml><?xml version="1.0" encoding="utf-8"?>
<comments xmlns="http://schemas.openxmlformats.org/spreadsheetml/2006/main">
  <authors>
    <author>Stephen R. Koontz</author>
  </authors>
  <commentList>
    <comment ref="B2" authorId="0">
      <text>
        <r>
          <rPr>
            <b/>
            <sz val="8"/>
            <rFont val="Tahoma"/>
            <family val="0"/>
          </rPr>
          <t>Stephen R. Koontz:</t>
        </r>
        <r>
          <rPr>
            <sz val="8"/>
            <rFont val="Tahoma"/>
            <family val="0"/>
          </rPr>
          <t xml:space="preserve">
During the summer use OCT &amp; NOV.</t>
        </r>
      </text>
    </comment>
  </commentList>
</comments>
</file>

<file path=xl/comments9.xml><?xml version="1.0" encoding="utf-8"?>
<comments xmlns="http://schemas.openxmlformats.org/spreadsheetml/2006/main">
  <authors>
    <author>Stephen R. Koontz</author>
  </authors>
  <commentList>
    <comment ref="C26" authorId="0">
      <text>
        <r>
          <rPr>
            <b/>
            <sz val="8"/>
            <rFont val="Tahoma"/>
            <family val="0"/>
          </rPr>
          <t>Pick an increment here so that the cells in this column have numbers that match the Strike Prices above.</t>
        </r>
      </text>
    </comment>
  </commentList>
</comments>
</file>

<file path=xl/sharedStrings.xml><?xml version="1.0" encoding="utf-8"?>
<sst xmlns="http://schemas.openxmlformats.org/spreadsheetml/2006/main" count="297" uniqueCount="94">
  <si>
    <t>Cash</t>
  </si>
  <si>
    <t>Floor</t>
  </si>
  <si>
    <t>Price</t>
  </si>
  <si>
    <t>Basis</t>
  </si>
  <si>
    <t>Strike</t>
  </si>
  <si>
    <t>Premium</t>
  </si>
  <si>
    <t>Contract</t>
  </si>
  <si>
    <t>Hedge</t>
  </si>
  <si>
    <t>Intervals</t>
  </si>
  <si>
    <t>Graph</t>
  </si>
  <si>
    <t>Fence1</t>
  </si>
  <si>
    <t>Fence2</t>
  </si>
  <si>
    <t>Strike Price</t>
  </si>
  <si>
    <t>What happens if price…</t>
  </si>
  <si>
    <t>goes up</t>
  </si>
  <si>
    <t>goes down</t>
  </si>
  <si>
    <t>stays same</t>
  </si>
  <si>
    <t>+ Basis</t>
  </si>
  <si>
    <t>- Premium</t>
  </si>
  <si>
    <t>= Price Floor</t>
  </si>
  <si>
    <t>Futures Price</t>
  </si>
  <si>
    <t>Cash Price</t>
  </si>
  <si>
    <t>Option Value</t>
  </si>
  <si>
    <t>Net Price</t>
  </si>
  <si>
    <t>Option Cost</t>
  </si>
  <si>
    <t>Price Floor =</t>
  </si>
  <si>
    <t>- Put Prem</t>
  </si>
  <si>
    <t>Price Ceiling =</t>
  </si>
  <si>
    <t>Put Strike P</t>
  </si>
  <si>
    <t>+ Call Prem</t>
  </si>
  <si>
    <t>Call Strike P</t>
  </si>
  <si>
    <t>= Floor</t>
  </si>
  <si>
    <t>= Ceiling</t>
  </si>
  <si>
    <t>Put Cost</t>
  </si>
  <si>
    <t>Put Value</t>
  </si>
  <si>
    <t>Call Revenue</t>
  </si>
  <si>
    <t>Buy a Put</t>
  </si>
  <si>
    <t>Sell a Put</t>
  </si>
  <si>
    <t>Net</t>
  </si>
  <si>
    <t>+ Premium</t>
  </si>
  <si>
    <t>Option Rev</t>
  </si>
  <si>
    <t>Buy a Call</t>
  </si>
  <si>
    <t>Sell a Call</t>
  </si>
  <si>
    <t>Up</t>
  </si>
  <si>
    <t>Down</t>
  </si>
  <si>
    <t>Amounts</t>
  </si>
  <si>
    <t>Incrmnt</t>
  </si>
  <si>
    <t>This spreadsheet contains a number of options examples.</t>
  </si>
  <si>
    <t>The general format followed within all the worksheets is as follows.  The blue cells are input cells.  All other cells may have formulas or are output to evaluate.</t>
  </si>
  <si>
    <t>Input Cell</t>
  </si>
  <si>
    <t>Put-Call Worksheet.  Input a Put option strike price and premium.  The spread sheet examines the results of buying or selling the option and the results of increasing and decreasing market prices.</t>
  </si>
  <si>
    <t>Input a Put option strike price and premium.  The spread sheet examines the results of buying or selling the option and the results of increasing and decreasing market prices.</t>
  </si>
  <si>
    <t>Option Liability</t>
  </si>
  <si>
    <t>Call Liability</t>
  </si>
  <si>
    <t>Buy Put</t>
  </si>
  <si>
    <t>Sell Put</t>
  </si>
  <si>
    <t>Buy Call</t>
  </si>
  <si>
    <t>Sell Call</t>
  </si>
  <si>
    <t>Futures</t>
  </si>
  <si>
    <t>@ Strike</t>
  </si>
  <si>
    <t>Sell F</t>
  </si>
  <si>
    <t>Buy F</t>
  </si>
  <si>
    <t>Futures Prices</t>
  </si>
  <si>
    <t>Put Option</t>
  </si>
  <si>
    <t>Strike Prices</t>
  </si>
  <si>
    <t>Premiums</t>
  </si>
  <si>
    <t>Out</t>
  </si>
  <si>
    <t>In</t>
  </si>
  <si>
    <t>Intrinsic</t>
  </si>
  <si>
    <t>Time</t>
  </si>
  <si>
    <t>Out/At</t>
  </si>
  <si>
    <t>In/At</t>
  </si>
  <si>
    <t>*.**</t>
  </si>
  <si>
    <t>Call Option</t>
  </si>
  <si>
    <t>Net Dollars</t>
  </si>
  <si>
    <t>Looking at Out-of-the-Money Options</t>
  </si>
  <si>
    <t>OCT 2011</t>
  </si>
  <si>
    <t>OCT</t>
  </si>
  <si>
    <t>Futures Contract</t>
  </si>
  <si>
    <t>Today</t>
  </si>
  <si>
    <t>Days to Maturity</t>
  </si>
  <si>
    <t>Expiration Date</t>
  </si>
  <si>
    <t>Interest Rate</t>
  </si>
  <si>
    <t>Volatility</t>
  </si>
  <si>
    <t>Put Price</t>
  </si>
  <si>
    <t>Call Price</t>
  </si>
  <si>
    <t>x1</t>
  </si>
  <si>
    <t>x2</t>
  </si>
  <si>
    <t>Example Options &amp; Futures:  August 5, 2011</t>
  </si>
  <si>
    <t>NOV 2011</t>
  </si>
  <si>
    <t>Time Value Change Examples</t>
  </si>
  <si>
    <t>Change Futures Price</t>
  </si>
  <si>
    <t>Today's Work</t>
  </si>
  <si>
    <t>Time Value Examples w/ Out-of-Money Strike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</si>
</sst>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[$-409]dddd\,\ mmmm\ dd\,\ yyyy"/>
    <numFmt numFmtId="167" formatCode="&quot;$&quot;#,##0.000"/>
    <numFmt numFmtId="168" formatCode="0.00000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i/>
      <sz val="19.75"/>
      <name val="Arial"/>
      <family val="2"/>
    </font>
    <font>
      <b/>
      <i/>
      <sz val="22.5"/>
      <name val="Arial"/>
      <family val="2"/>
    </font>
    <font>
      <b/>
      <sz val="8"/>
      <name val="Tahoma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2" fontId="1" fillId="2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1" fillId="2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2" fontId="1" fillId="2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1" fillId="3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2" fillId="2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/>
    </xf>
    <xf numFmtId="2" fontId="8" fillId="0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2" fontId="8" fillId="4" borderId="6" xfId="0" applyNumberFormat="1" applyFont="1" applyFill="1" applyBorder="1" applyAlignment="1">
      <alignment horizontal="center" vertical="center"/>
    </xf>
    <xf numFmtId="2" fontId="8" fillId="5" borderId="7" xfId="0" applyNumberFormat="1" applyFont="1" applyFill="1" applyBorder="1" applyAlignment="1">
      <alignment horizontal="center" vertical="center"/>
    </xf>
    <xf numFmtId="2" fontId="8" fillId="5" borderId="0" xfId="0" applyNumberFormat="1" applyFont="1" applyFill="1" applyBorder="1" applyAlignment="1">
      <alignment horizontal="center" vertical="center"/>
    </xf>
    <xf numFmtId="2" fontId="8" fillId="5" borderId="4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2" borderId="0" xfId="0" applyNumberFormat="1" applyFont="1" applyFill="1" applyAlignment="1">
      <alignment/>
    </xf>
    <xf numFmtId="14" fontId="1" fillId="2" borderId="0" xfId="0" applyNumberFormat="1" applyFont="1" applyFill="1" applyAlignment="1">
      <alignment/>
    </xf>
    <xf numFmtId="168" fontId="1" fillId="0" borderId="0" xfId="0" applyNumberFormat="1" applyFont="1" applyAlignment="1">
      <alignment/>
    </xf>
    <xf numFmtId="167" fontId="1" fillId="3" borderId="0" xfId="0" applyNumberFormat="1" applyFont="1" applyFill="1" applyAlignment="1">
      <alignment/>
    </xf>
    <xf numFmtId="14" fontId="1" fillId="6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2" fontId="8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2" fontId="8" fillId="3" borderId="0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1" fontId="8" fillId="7" borderId="1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/>
    </xf>
    <xf numFmtId="0" fontId="1" fillId="4" borderId="0" xfId="0" applyFont="1" applyFill="1" applyAlignment="1">
      <alignment/>
    </xf>
    <xf numFmtId="2" fontId="8" fillId="0" borderId="6" xfId="0" applyNumberFormat="1" applyFont="1" applyFill="1" applyBorder="1" applyAlignment="1" quotePrefix="1">
      <alignment horizontal="center" vertical="center"/>
    </xf>
    <xf numFmtId="2" fontId="8" fillId="0" borderId="7" xfId="0" applyNumberFormat="1" applyFont="1" applyFill="1" applyBorder="1" applyAlignment="1" quotePrefix="1">
      <alignment horizontal="center" vertical="center"/>
    </xf>
    <xf numFmtId="2" fontId="8" fillId="0" borderId="8" xfId="0" applyNumberFormat="1" applyFont="1" applyFill="1" applyBorder="1" applyAlignment="1" quotePrefix="1">
      <alignment horizontal="center" vertical="center"/>
    </xf>
    <xf numFmtId="17" fontId="9" fillId="5" borderId="0" xfId="0" applyNumberFormat="1" applyFont="1" applyFill="1" applyBorder="1" applyAlignment="1" quotePrefix="1">
      <alignment horizontal="center" vertical="center"/>
    </xf>
    <xf numFmtId="0" fontId="1" fillId="5" borderId="0" xfId="0" applyFont="1" applyFill="1" applyBorder="1" applyAlignment="1">
      <alignment/>
    </xf>
    <xf numFmtId="0" fontId="9" fillId="3" borderId="0" xfId="0" applyNumberFormat="1" applyFont="1" applyFill="1" applyBorder="1" applyAlignment="1" quotePrefix="1">
      <alignment horizontal="center" vertical="center"/>
    </xf>
    <xf numFmtId="0" fontId="1" fillId="3" borderId="0" xfId="0" applyFont="1" applyFill="1" applyBorder="1" applyAlignment="1">
      <alignment/>
    </xf>
    <xf numFmtId="2" fontId="8" fillId="5" borderId="0" xfId="0" applyNumberFormat="1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center" vertical="center"/>
    </xf>
    <xf numFmtId="165" fontId="8" fillId="5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1" u="none" baseline="0">
                <a:latin typeface="Arial"/>
                <a:ea typeface="Arial"/>
                <a:cs typeface="Arial"/>
              </a:rPr>
              <a:t>Put Options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'Graph Put-Call Data'!$E$2</c:f>
              <c:strCache>
                <c:ptCount val="1"/>
                <c:pt idx="0">
                  <c:v>Buy Put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Put-Call Data'!$B$6:$B$22</c:f>
              <c:numCache>
                <c:ptCount val="17"/>
                <c:pt idx="0">
                  <c:v>120</c:v>
                </c:pt>
                <c:pt idx="1">
                  <c:v>122</c:v>
                </c:pt>
                <c:pt idx="2">
                  <c:v>124</c:v>
                </c:pt>
                <c:pt idx="3">
                  <c:v>126</c:v>
                </c:pt>
                <c:pt idx="4">
                  <c:v>128</c:v>
                </c:pt>
                <c:pt idx="5">
                  <c:v>130</c:v>
                </c:pt>
                <c:pt idx="6">
                  <c:v>132</c:v>
                </c:pt>
                <c:pt idx="7">
                  <c:v>134</c:v>
                </c:pt>
                <c:pt idx="8">
                  <c:v>136</c:v>
                </c:pt>
                <c:pt idx="9">
                  <c:v>138</c:v>
                </c:pt>
                <c:pt idx="10">
                  <c:v>140</c:v>
                </c:pt>
                <c:pt idx="11">
                  <c:v>142</c:v>
                </c:pt>
                <c:pt idx="12">
                  <c:v>144</c:v>
                </c:pt>
                <c:pt idx="13">
                  <c:v>146</c:v>
                </c:pt>
                <c:pt idx="14">
                  <c:v>148</c:v>
                </c:pt>
                <c:pt idx="15">
                  <c:v>150</c:v>
                </c:pt>
                <c:pt idx="16">
                  <c:v>152</c:v>
                </c:pt>
              </c:numCache>
            </c:numRef>
          </c:cat>
          <c:val>
            <c:numRef>
              <c:f>'Graph Put-Call Data'!$E$6:$E$22</c:f>
              <c:numCache>
                <c:ptCount val="17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-2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'Graph Put-Call Data'!$F$2</c:f>
              <c:strCache>
                <c:ptCount val="1"/>
                <c:pt idx="0">
                  <c:v>Sell Put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Put-Call Data'!$B$6:$B$22</c:f>
              <c:numCache>
                <c:ptCount val="17"/>
                <c:pt idx="0">
                  <c:v>120</c:v>
                </c:pt>
                <c:pt idx="1">
                  <c:v>122</c:v>
                </c:pt>
                <c:pt idx="2">
                  <c:v>124</c:v>
                </c:pt>
                <c:pt idx="3">
                  <c:v>126</c:v>
                </c:pt>
                <c:pt idx="4">
                  <c:v>128</c:v>
                </c:pt>
                <c:pt idx="5">
                  <c:v>130</c:v>
                </c:pt>
                <c:pt idx="6">
                  <c:v>132</c:v>
                </c:pt>
                <c:pt idx="7">
                  <c:v>134</c:v>
                </c:pt>
                <c:pt idx="8">
                  <c:v>136</c:v>
                </c:pt>
                <c:pt idx="9">
                  <c:v>138</c:v>
                </c:pt>
                <c:pt idx="10">
                  <c:v>140</c:v>
                </c:pt>
                <c:pt idx="11">
                  <c:v>142</c:v>
                </c:pt>
                <c:pt idx="12">
                  <c:v>144</c:v>
                </c:pt>
                <c:pt idx="13">
                  <c:v>146</c:v>
                </c:pt>
                <c:pt idx="14">
                  <c:v>148</c:v>
                </c:pt>
                <c:pt idx="15">
                  <c:v>150</c:v>
                </c:pt>
                <c:pt idx="16">
                  <c:v>152</c:v>
                </c:pt>
              </c:numCache>
            </c:numRef>
          </c:cat>
          <c:val>
            <c:numRef>
              <c:f>'Graph Put-Call Data'!$F$6:$F$22</c:f>
              <c:numCache>
                <c:ptCount val="17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'Graph Put-Call Data'!$J$3</c:f>
              <c:strCache>
                <c:ptCount val="1"/>
                <c:pt idx="0">
                  <c:v>Buy 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'Graph Put-Call Data'!$J$6:$J$22</c:f>
              <c:numCache>
                <c:ptCount val="17"/>
                <c:pt idx="0">
                  <c:v>-16</c:v>
                </c:pt>
                <c:pt idx="1">
                  <c:v>-14</c:v>
                </c:pt>
                <c:pt idx="2">
                  <c:v>-12</c:v>
                </c:pt>
                <c:pt idx="3">
                  <c:v>-10</c:v>
                </c:pt>
                <c:pt idx="4">
                  <c:v>-8</c:v>
                </c:pt>
                <c:pt idx="5">
                  <c:v>-6</c:v>
                </c:pt>
                <c:pt idx="6">
                  <c:v>-4</c:v>
                </c:pt>
                <c:pt idx="7">
                  <c:v>-2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12</c:v>
                </c:pt>
                <c:pt idx="15">
                  <c:v>14</c:v>
                </c:pt>
                <c:pt idx="16">
                  <c:v>16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'Graph Put-Call Data'!$K$3</c:f>
              <c:strCache>
                <c:ptCount val="1"/>
                <c:pt idx="0">
                  <c:v>Sell F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'Graph Put-Call Data'!$K$6:$K$22</c:f>
              <c:numCache>
                <c:ptCount val="17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-2</c:v>
                </c:pt>
                <c:pt idx="10">
                  <c:v>-4</c:v>
                </c:pt>
                <c:pt idx="11">
                  <c:v>-6</c:v>
                </c:pt>
                <c:pt idx="12">
                  <c:v>-8</c:v>
                </c:pt>
                <c:pt idx="13">
                  <c:v>-10</c:v>
                </c:pt>
                <c:pt idx="14">
                  <c:v>-12</c:v>
                </c:pt>
                <c:pt idx="15">
                  <c:v>-14</c:v>
                </c:pt>
                <c:pt idx="16">
                  <c:v>-16</c:v>
                </c:pt>
              </c:numCache>
            </c:numRef>
          </c:val>
          <c:smooth val="0"/>
        </c:ser>
        <c:marker val="1"/>
        <c:axId val="65077394"/>
        <c:axId val="48825635"/>
      </c:lineChart>
      <c:catAx>
        <c:axId val="65077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Futures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975" b="1" i="1" u="none" baseline="0">
                <a:latin typeface="Arial"/>
                <a:ea typeface="Arial"/>
                <a:cs typeface="Arial"/>
              </a:defRPr>
            </a:pPr>
          </a:p>
        </c:txPr>
        <c:crossAx val="48825635"/>
        <c:crosses val="autoZero"/>
        <c:auto val="1"/>
        <c:lblOffset val="100"/>
        <c:noMultiLvlLbl val="0"/>
      </c:catAx>
      <c:valAx>
        <c:axId val="48825635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1" u="none" baseline="0">
                    <a:latin typeface="Arial"/>
                    <a:ea typeface="Arial"/>
                    <a:cs typeface="Arial"/>
                  </a:rPr>
                  <a:t>Net Profit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65077394"/>
        <c:crossesAt val="1"/>
        <c:crossBetween val="between"/>
        <c:dispUnits/>
        <c:majorUnit val="2"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75" b="1" i="1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1" u="none" baseline="0">
                <a:latin typeface="Arial"/>
                <a:ea typeface="Arial"/>
                <a:cs typeface="Arial"/>
              </a:rPr>
              <a:t>Call Options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'Graph Put-Call Data'!$G$2</c:f>
              <c:strCache>
                <c:ptCount val="1"/>
                <c:pt idx="0">
                  <c:v>Buy Call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Put-Call Data'!$B$6:$B$22</c:f>
              <c:numCache>
                <c:ptCount val="17"/>
                <c:pt idx="0">
                  <c:v>120</c:v>
                </c:pt>
                <c:pt idx="1">
                  <c:v>122</c:v>
                </c:pt>
                <c:pt idx="2">
                  <c:v>124</c:v>
                </c:pt>
                <c:pt idx="3">
                  <c:v>126</c:v>
                </c:pt>
                <c:pt idx="4">
                  <c:v>128</c:v>
                </c:pt>
                <c:pt idx="5">
                  <c:v>130</c:v>
                </c:pt>
                <c:pt idx="6">
                  <c:v>132</c:v>
                </c:pt>
                <c:pt idx="7">
                  <c:v>134</c:v>
                </c:pt>
                <c:pt idx="8">
                  <c:v>136</c:v>
                </c:pt>
                <c:pt idx="9">
                  <c:v>138</c:v>
                </c:pt>
                <c:pt idx="10">
                  <c:v>140</c:v>
                </c:pt>
                <c:pt idx="11">
                  <c:v>142</c:v>
                </c:pt>
                <c:pt idx="12">
                  <c:v>144</c:v>
                </c:pt>
                <c:pt idx="13">
                  <c:v>146</c:v>
                </c:pt>
                <c:pt idx="14">
                  <c:v>148</c:v>
                </c:pt>
                <c:pt idx="15">
                  <c:v>150</c:v>
                </c:pt>
                <c:pt idx="16">
                  <c:v>152</c:v>
                </c:pt>
              </c:numCache>
            </c:numRef>
          </c:cat>
          <c:val>
            <c:numRef>
              <c:f>'Graph Put-Call Data'!$G$6:$G$22</c:f>
              <c:numCache>
                <c:ptCount val="17"/>
                <c:pt idx="0">
                  <c:v>-4.3</c:v>
                </c:pt>
                <c:pt idx="1">
                  <c:v>-4.3</c:v>
                </c:pt>
                <c:pt idx="2">
                  <c:v>-4.3</c:v>
                </c:pt>
                <c:pt idx="3">
                  <c:v>-4.3</c:v>
                </c:pt>
                <c:pt idx="4">
                  <c:v>-4.3</c:v>
                </c:pt>
                <c:pt idx="5">
                  <c:v>-4.3</c:v>
                </c:pt>
                <c:pt idx="6">
                  <c:v>-4.3</c:v>
                </c:pt>
                <c:pt idx="7">
                  <c:v>-4.3</c:v>
                </c:pt>
                <c:pt idx="8">
                  <c:v>-4.3</c:v>
                </c:pt>
                <c:pt idx="9">
                  <c:v>-2.3</c:v>
                </c:pt>
                <c:pt idx="10">
                  <c:v>-0.2999999999999998</c:v>
                </c:pt>
                <c:pt idx="11">
                  <c:v>1.7000000000000002</c:v>
                </c:pt>
                <c:pt idx="12">
                  <c:v>3.7</c:v>
                </c:pt>
                <c:pt idx="13">
                  <c:v>5.7</c:v>
                </c:pt>
                <c:pt idx="14">
                  <c:v>7.7</c:v>
                </c:pt>
                <c:pt idx="15">
                  <c:v>9.7</c:v>
                </c:pt>
                <c:pt idx="16">
                  <c:v>11.7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'Graph Put-Call Data'!$H$2</c:f>
              <c:strCache>
                <c:ptCount val="1"/>
                <c:pt idx="0">
                  <c:v>Sell Call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Put-Call Data'!$B$6:$B$22</c:f>
              <c:numCache>
                <c:ptCount val="17"/>
                <c:pt idx="0">
                  <c:v>120</c:v>
                </c:pt>
                <c:pt idx="1">
                  <c:v>122</c:v>
                </c:pt>
                <c:pt idx="2">
                  <c:v>124</c:v>
                </c:pt>
                <c:pt idx="3">
                  <c:v>126</c:v>
                </c:pt>
                <c:pt idx="4">
                  <c:v>128</c:v>
                </c:pt>
                <c:pt idx="5">
                  <c:v>130</c:v>
                </c:pt>
                <c:pt idx="6">
                  <c:v>132</c:v>
                </c:pt>
                <c:pt idx="7">
                  <c:v>134</c:v>
                </c:pt>
                <c:pt idx="8">
                  <c:v>136</c:v>
                </c:pt>
                <c:pt idx="9">
                  <c:v>138</c:v>
                </c:pt>
                <c:pt idx="10">
                  <c:v>140</c:v>
                </c:pt>
                <c:pt idx="11">
                  <c:v>142</c:v>
                </c:pt>
                <c:pt idx="12">
                  <c:v>144</c:v>
                </c:pt>
                <c:pt idx="13">
                  <c:v>146</c:v>
                </c:pt>
                <c:pt idx="14">
                  <c:v>148</c:v>
                </c:pt>
                <c:pt idx="15">
                  <c:v>150</c:v>
                </c:pt>
                <c:pt idx="16">
                  <c:v>152</c:v>
                </c:pt>
              </c:numCache>
            </c:numRef>
          </c:cat>
          <c:val>
            <c:numRef>
              <c:f>'Graph Put-Call Data'!$H$6:$H$22</c:f>
              <c:numCache>
                <c:ptCount val="17"/>
                <c:pt idx="0">
                  <c:v>4.3</c:v>
                </c:pt>
                <c:pt idx="1">
                  <c:v>4.3</c:v>
                </c:pt>
                <c:pt idx="2">
                  <c:v>4.3</c:v>
                </c:pt>
                <c:pt idx="3">
                  <c:v>4.3</c:v>
                </c:pt>
                <c:pt idx="4">
                  <c:v>4.3</c:v>
                </c:pt>
                <c:pt idx="5">
                  <c:v>4.3</c:v>
                </c:pt>
                <c:pt idx="6">
                  <c:v>4.3</c:v>
                </c:pt>
                <c:pt idx="7">
                  <c:v>4.3</c:v>
                </c:pt>
                <c:pt idx="8">
                  <c:v>4.3</c:v>
                </c:pt>
                <c:pt idx="9">
                  <c:v>2.3</c:v>
                </c:pt>
                <c:pt idx="10">
                  <c:v>0.2999999999999998</c:v>
                </c:pt>
                <c:pt idx="11">
                  <c:v>-1.7000000000000002</c:v>
                </c:pt>
                <c:pt idx="12">
                  <c:v>-3.7</c:v>
                </c:pt>
                <c:pt idx="13">
                  <c:v>-5.7</c:v>
                </c:pt>
                <c:pt idx="14">
                  <c:v>-7.7</c:v>
                </c:pt>
                <c:pt idx="15">
                  <c:v>-9.7</c:v>
                </c:pt>
                <c:pt idx="16">
                  <c:v>-11.7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'Graph Put-Call Data'!$J$3</c:f>
              <c:strCache>
                <c:ptCount val="1"/>
                <c:pt idx="0">
                  <c:v>Buy F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'Graph Put-Call Data'!$J$6:$J$22</c:f>
              <c:numCache>
                <c:ptCount val="17"/>
                <c:pt idx="0">
                  <c:v>-16</c:v>
                </c:pt>
                <c:pt idx="1">
                  <c:v>-14</c:v>
                </c:pt>
                <c:pt idx="2">
                  <c:v>-12</c:v>
                </c:pt>
                <c:pt idx="3">
                  <c:v>-10</c:v>
                </c:pt>
                <c:pt idx="4">
                  <c:v>-8</c:v>
                </c:pt>
                <c:pt idx="5">
                  <c:v>-6</c:v>
                </c:pt>
                <c:pt idx="6">
                  <c:v>-4</c:v>
                </c:pt>
                <c:pt idx="7">
                  <c:v>-2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12</c:v>
                </c:pt>
                <c:pt idx="15">
                  <c:v>14</c:v>
                </c:pt>
                <c:pt idx="16">
                  <c:v>16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'Graph Put-Call Data'!$K$3</c:f>
              <c:strCache>
                <c:ptCount val="1"/>
                <c:pt idx="0">
                  <c:v>Sell F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'Graph Put-Call Data'!$K$6:$K$22</c:f>
              <c:numCache>
                <c:ptCount val="17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-2</c:v>
                </c:pt>
                <c:pt idx="10">
                  <c:v>-4</c:v>
                </c:pt>
                <c:pt idx="11">
                  <c:v>-6</c:v>
                </c:pt>
                <c:pt idx="12">
                  <c:v>-8</c:v>
                </c:pt>
                <c:pt idx="13">
                  <c:v>-10</c:v>
                </c:pt>
                <c:pt idx="14">
                  <c:v>-12</c:v>
                </c:pt>
                <c:pt idx="15">
                  <c:v>-14</c:v>
                </c:pt>
                <c:pt idx="16">
                  <c:v>-16</c:v>
                </c:pt>
              </c:numCache>
            </c:numRef>
          </c:val>
          <c:smooth val="0"/>
        </c:ser>
        <c:marker val="1"/>
        <c:axId val="36777532"/>
        <c:axId val="62562333"/>
      </c:lineChart>
      <c:catAx>
        <c:axId val="3677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Futures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975" b="1" i="1" u="none" baseline="0">
                <a:latin typeface="Arial"/>
                <a:ea typeface="Arial"/>
                <a:cs typeface="Arial"/>
              </a:defRPr>
            </a:pPr>
          </a:p>
        </c:txPr>
        <c:crossAx val="62562333"/>
        <c:crosses val="autoZero"/>
        <c:auto val="1"/>
        <c:lblOffset val="100"/>
        <c:noMultiLvlLbl val="0"/>
      </c:catAx>
      <c:valAx>
        <c:axId val="62562333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1" u="none" baseline="0">
                    <a:latin typeface="Arial"/>
                    <a:ea typeface="Arial"/>
                    <a:cs typeface="Arial"/>
                  </a:rPr>
                  <a:t>Net Profit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36777532"/>
        <c:crossesAt val="1"/>
        <c:crossBetween val="between"/>
        <c:dispUnits/>
        <c:majorUnit val="2"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75" b="1" i="1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1" u="none" baseline="0">
                <a:latin typeface="Arial"/>
                <a:ea typeface="Arial"/>
                <a:cs typeface="Arial"/>
              </a:rPr>
              <a:t>Price Floors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'Graphs Data'!$E$2</c:f>
              <c:strCache>
                <c:ptCount val="1"/>
                <c:pt idx="0">
                  <c:v>Cash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'Graphs Data'!$C$8:$C$24</c:f>
              <c:numCache>
                <c:ptCount val="17"/>
                <c:pt idx="0">
                  <c:v>120</c:v>
                </c:pt>
                <c:pt idx="1">
                  <c:v>122</c:v>
                </c:pt>
                <c:pt idx="2">
                  <c:v>124</c:v>
                </c:pt>
                <c:pt idx="3">
                  <c:v>126</c:v>
                </c:pt>
                <c:pt idx="4">
                  <c:v>128</c:v>
                </c:pt>
                <c:pt idx="5">
                  <c:v>130</c:v>
                </c:pt>
                <c:pt idx="6">
                  <c:v>132</c:v>
                </c:pt>
                <c:pt idx="7">
                  <c:v>134</c:v>
                </c:pt>
                <c:pt idx="8">
                  <c:v>136</c:v>
                </c:pt>
                <c:pt idx="9">
                  <c:v>138</c:v>
                </c:pt>
                <c:pt idx="10">
                  <c:v>140</c:v>
                </c:pt>
                <c:pt idx="11">
                  <c:v>142</c:v>
                </c:pt>
                <c:pt idx="12">
                  <c:v>144</c:v>
                </c:pt>
                <c:pt idx="13">
                  <c:v>146</c:v>
                </c:pt>
                <c:pt idx="14">
                  <c:v>148</c:v>
                </c:pt>
                <c:pt idx="15">
                  <c:v>150</c:v>
                </c:pt>
                <c:pt idx="16">
                  <c:v>152</c:v>
                </c:pt>
              </c:numCache>
            </c:numRef>
          </c:cat>
          <c:val>
            <c:numRef>
              <c:f>'Graphs Data'!$E$8:$E$24</c:f>
              <c:numCache>
                <c:ptCount val="17"/>
                <c:pt idx="0">
                  <c:v>119.5</c:v>
                </c:pt>
                <c:pt idx="1">
                  <c:v>121.5</c:v>
                </c:pt>
                <c:pt idx="2">
                  <c:v>123.5</c:v>
                </c:pt>
                <c:pt idx="3">
                  <c:v>125.5</c:v>
                </c:pt>
                <c:pt idx="4">
                  <c:v>127.5</c:v>
                </c:pt>
                <c:pt idx="5">
                  <c:v>129.5</c:v>
                </c:pt>
                <c:pt idx="6">
                  <c:v>131.5</c:v>
                </c:pt>
                <c:pt idx="7">
                  <c:v>133.5</c:v>
                </c:pt>
                <c:pt idx="8">
                  <c:v>135.5</c:v>
                </c:pt>
                <c:pt idx="9">
                  <c:v>137.5</c:v>
                </c:pt>
                <c:pt idx="10">
                  <c:v>139.5</c:v>
                </c:pt>
                <c:pt idx="11">
                  <c:v>141.5</c:v>
                </c:pt>
                <c:pt idx="12">
                  <c:v>143.5</c:v>
                </c:pt>
                <c:pt idx="13">
                  <c:v>145.5</c:v>
                </c:pt>
                <c:pt idx="14">
                  <c:v>147.5</c:v>
                </c:pt>
                <c:pt idx="15">
                  <c:v>149.5</c:v>
                </c:pt>
                <c:pt idx="16">
                  <c:v>151.5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'Graphs Data'!$H$3</c:f>
              <c:strCache>
                <c:ptCount val="1"/>
                <c:pt idx="0">
                  <c:v>134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'Graphs Data'!$C$8:$C$24</c:f>
              <c:numCache>
                <c:ptCount val="17"/>
                <c:pt idx="0">
                  <c:v>120</c:v>
                </c:pt>
                <c:pt idx="1">
                  <c:v>122</c:v>
                </c:pt>
                <c:pt idx="2">
                  <c:v>124</c:v>
                </c:pt>
                <c:pt idx="3">
                  <c:v>126</c:v>
                </c:pt>
                <c:pt idx="4">
                  <c:v>128</c:v>
                </c:pt>
                <c:pt idx="5">
                  <c:v>130</c:v>
                </c:pt>
                <c:pt idx="6">
                  <c:v>132</c:v>
                </c:pt>
                <c:pt idx="7">
                  <c:v>134</c:v>
                </c:pt>
                <c:pt idx="8">
                  <c:v>136</c:v>
                </c:pt>
                <c:pt idx="9">
                  <c:v>138</c:v>
                </c:pt>
                <c:pt idx="10">
                  <c:v>140</c:v>
                </c:pt>
                <c:pt idx="11">
                  <c:v>142</c:v>
                </c:pt>
                <c:pt idx="12">
                  <c:v>144</c:v>
                </c:pt>
                <c:pt idx="13">
                  <c:v>146</c:v>
                </c:pt>
                <c:pt idx="14">
                  <c:v>148</c:v>
                </c:pt>
                <c:pt idx="15">
                  <c:v>150</c:v>
                </c:pt>
                <c:pt idx="16">
                  <c:v>152</c:v>
                </c:pt>
              </c:numCache>
            </c:numRef>
          </c:cat>
          <c:val>
            <c:numRef>
              <c:f>'Graphs Data'!$H$8:$H$24</c:f>
              <c:numCache>
                <c:ptCount val="17"/>
                <c:pt idx="0">
                  <c:v>130.4</c:v>
                </c:pt>
                <c:pt idx="1">
                  <c:v>130.4</c:v>
                </c:pt>
                <c:pt idx="2">
                  <c:v>130.4</c:v>
                </c:pt>
                <c:pt idx="3">
                  <c:v>130.4</c:v>
                </c:pt>
                <c:pt idx="4">
                  <c:v>130.4</c:v>
                </c:pt>
                <c:pt idx="5">
                  <c:v>130.4</c:v>
                </c:pt>
                <c:pt idx="6">
                  <c:v>130.4</c:v>
                </c:pt>
                <c:pt idx="7">
                  <c:v>130.4</c:v>
                </c:pt>
                <c:pt idx="8">
                  <c:v>132.4</c:v>
                </c:pt>
                <c:pt idx="9">
                  <c:v>134.4</c:v>
                </c:pt>
                <c:pt idx="10">
                  <c:v>136.4</c:v>
                </c:pt>
                <c:pt idx="11">
                  <c:v>138.4</c:v>
                </c:pt>
                <c:pt idx="12">
                  <c:v>140.4</c:v>
                </c:pt>
                <c:pt idx="13">
                  <c:v>142.4</c:v>
                </c:pt>
                <c:pt idx="14">
                  <c:v>144.4</c:v>
                </c:pt>
                <c:pt idx="15">
                  <c:v>146.4</c:v>
                </c:pt>
                <c:pt idx="16">
                  <c:v>148.4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'Graphs Data'!$I$3</c:f>
              <c:strCache>
                <c:ptCount val="1"/>
                <c:pt idx="0">
                  <c:v>132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'Graphs Data'!$C$8:$C$24</c:f>
              <c:numCache>
                <c:ptCount val="17"/>
                <c:pt idx="0">
                  <c:v>120</c:v>
                </c:pt>
                <c:pt idx="1">
                  <c:v>122</c:v>
                </c:pt>
                <c:pt idx="2">
                  <c:v>124</c:v>
                </c:pt>
                <c:pt idx="3">
                  <c:v>126</c:v>
                </c:pt>
                <c:pt idx="4">
                  <c:v>128</c:v>
                </c:pt>
                <c:pt idx="5">
                  <c:v>130</c:v>
                </c:pt>
                <c:pt idx="6">
                  <c:v>132</c:v>
                </c:pt>
                <c:pt idx="7">
                  <c:v>134</c:v>
                </c:pt>
                <c:pt idx="8">
                  <c:v>136</c:v>
                </c:pt>
                <c:pt idx="9">
                  <c:v>138</c:v>
                </c:pt>
                <c:pt idx="10">
                  <c:v>140</c:v>
                </c:pt>
                <c:pt idx="11">
                  <c:v>142</c:v>
                </c:pt>
                <c:pt idx="12">
                  <c:v>144</c:v>
                </c:pt>
                <c:pt idx="13">
                  <c:v>146</c:v>
                </c:pt>
                <c:pt idx="14">
                  <c:v>148</c:v>
                </c:pt>
                <c:pt idx="15">
                  <c:v>150</c:v>
                </c:pt>
                <c:pt idx="16">
                  <c:v>152</c:v>
                </c:pt>
              </c:numCache>
            </c:numRef>
          </c:cat>
          <c:val>
            <c:numRef>
              <c:f>'Graphs Data'!$I$8:$I$24</c:f>
              <c:numCache>
                <c:ptCount val="17"/>
                <c:pt idx="0">
                  <c:v>129.08</c:v>
                </c:pt>
                <c:pt idx="1">
                  <c:v>129.08</c:v>
                </c:pt>
                <c:pt idx="2">
                  <c:v>129.08</c:v>
                </c:pt>
                <c:pt idx="3">
                  <c:v>129.08</c:v>
                </c:pt>
                <c:pt idx="4">
                  <c:v>129.08</c:v>
                </c:pt>
                <c:pt idx="5">
                  <c:v>129.08</c:v>
                </c:pt>
                <c:pt idx="6">
                  <c:v>129.08</c:v>
                </c:pt>
                <c:pt idx="7">
                  <c:v>131.08</c:v>
                </c:pt>
                <c:pt idx="8">
                  <c:v>133.08</c:v>
                </c:pt>
                <c:pt idx="9">
                  <c:v>135.08</c:v>
                </c:pt>
                <c:pt idx="10">
                  <c:v>137.08</c:v>
                </c:pt>
                <c:pt idx="11">
                  <c:v>139.08</c:v>
                </c:pt>
                <c:pt idx="12">
                  <c:v>141.08</c:v>
                </c:pt>
                <c:pt idx="13">
                  <c:v>143.08</c:v>
                </c:pt>
                <c:pt idx="14">
                  <c:v>145.08</c:v>
                </c:pt>
                <c:pt idx="15">
                  <c:v>147.08</c:v>
                </c:pt>
                <c:pt idx="16">
                  <c:v>149.08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'Graphs Data'!$J$3</c:f>
              <c:strCache>
                <c:ptCount val="1"/>
                <c:pt idx="0">
                  <c:v>130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'Graphs Data'!$C$8:$C$24</c:f>
              <c:numCache>
                <c:ptCount val="17"/>
                <c:pt idx="0">
                  <c:v>120</c:v>
                </c:pt>
                <c:pt idx="1">
                  <c:v>122</c:v>
                </c:pt>
                <c:pt idx="2">
                  <c:v>124</c:v>
                </c:pt>
                <c:pt idx="3">
                  <c:v>126</c:v>
                </c:pt>
                <c:pt idx="4">
                  <c:v>128</c:v>
                </c:pt>
                <c:pt idx="5">
                  <c:v>130</c:v>
                </c:pt>
                <c:pt idx="6">
                  <c:v>132</c:v>
                </c:pt>
                <c:pt idx="7">
                  <c:v>134</c:v>
                </c:pt>
                <c:pt idx="8">
                  <c:v>136</c:v>
                </c:pt>
                <c:pt idx="9">
                  <c:v>138</c:v>
                </c:pt>
                <c:pt idx="10">
                  <c:v>140</c:v>
                </c:pt>
                <c:pt idx="11">
                  <c:v>142</c:v>
                </c:pt>
                <c:pt idx="12">
                  <c:v>144</c:v>
                </c:pt>
                <c:pt idx="13">
                  <c:v>146</c:v>
                </c:pt>
                <c:pt idx="14">
                  <c:v>148</c:v>
                </c:pt>
                <c:pt idx="15">
                  <c:v>150</c:v>
                </c:pt>
                <c:pt idx="16">
                  <c:v>152</c:v>
                </c:pt>
              </c:numCache>
            </c:numRef>
          </c:cat>
          <c:val>
            <c:numRef>
              <c:f>'Graphs Data'!$J$8:$J$24</c:f>
              <c:numCache>
                <c:ptCount val="17"/>
                <c:pt idx="0">
                  <c:v>127.65</c:v>
                </c:pt>
                <c:pt idx="1">
                  <c:v>127.65</c:v>
                </c:pt>
                <c:pt idx="2">
                  <c:v>127.65</c:v>
                </c:pt>
                <c:pt idx="3">
                  <c:v>127.65</c:v>
                </c:pt>
                <c:pt idx="4">
                  <c:v>127.65</c:v>
                </c:pt>
                <c:pt idx="5">
                  <c:v>127.65</c:v>
                </c:pt>
                <c:pt idx="6">
                  <c:v>129.65</c:v>
                </c:pt>
                <c:pt idx="7">
                  <c:v>131.65</c:v>
                </c:pt>
                <c:pt idx="8">
                  <c:v>133.65</c:v>
                </c:pt>
                <c:pt idx="9">
                  <c:v>135.65</c:v>
                </c:pt>
                <c:pt idx="10">
                  <c:v>137.65</c:v>
                </c:pt>
                <c:pt idx="11">
                  <c:v>139.65</c:v>
                </c:pt>
                <c:pt idx="12">
                  <c:v>141.65</c:v>
                </c:pt>
                <c:pt idx="13">
                  <c:v>143.65</c:v>
                </c:pt>
                <c:pt idx="14">
                  <c:v>145.65</c:v>
                </c:pt>
                <c:pt idx="15">
                  <c:v>147.65</c:v>
                </c:pt>
                <c:pt idx="16">
                  <c:v>149.65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'Graphs Data'!$F$2</c:f>
              <c:strCache>
                <c:ptCount val="1"/>
                <c:pt idx="0">
                  <c:v>Hedge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'Graphs Data'!$C$8:$C$24</c:f>
              <c:numCache>
                <c:ptCount val="17"/>
                <c:pt idx="0">
                  <c:v>120</c:v>
                </c:pt>
                <c:pt idx="1">
                  <c:v>122</c:v>
                </c:pt>
                <c:pt idx="2">
                  <c:v>124</c:v>
                </c:pt>
                <c:pt idx="3">
                  <c:v>126</c:v>
                </c:pt>
                <c:pt idx="4">
                  <c:v>128</c:v>
                </c:pt>
                <c:pt idx="5">
                  <c:v>130</c:v>
                </c:pt>
                <c:pt idx="6">
                  <c:v>132</c:v>
                </c:pt>
                <c:pt idx="7">
                  <c:v>134</c:v>
                </c:pt>
                <c:pt idx="8">
                  <c:v>136</c:v>
                </c:pt>
                <c:pt idx="9">
                  <c:v>138</c:v>
                </c:pt>
                <c:pt idx="10">
                  <c:v>140</c:v>
                </c:pt>
                <c:pt idx="11">
                  <c:v>142</c:v>
                </c:pt>
                <c:pt idx="12">
                  <c:v>144</c:v>
                </c:pt>
                <c:pt idx="13">
                  <c:v>146</c:v>
                </c:pt>
                <c:pt idx="14">
                  <c:v>148</c:v>
                </c:pt>
                <c:pt idx="15">
                  <c:v>150</c:v>
                </c:pt>
                <c:pt idx="16">
                  <c:v>152</c:v>
                </c:pt>
              </c:numCache>
            </c:numRef>
          </c:cat>
          <c:val>
            <c:numRef>
              <c:f>'Graphs Data'!$F$8:$F$24</c:f>
              <c:numCache>
                <c:ptCount val="17"/>
                <c:pt idx="0">
                  <c:v>135.5</c:v>
                </c:pt>
                <c:pt idx="1">
                  <c:v>135.5</c:v>
                </c:pt>
                <c:pt idx="2">
                  <c:v>135.5</c:v>
                </c:pt>
                <c:pt idx="3">
                  <c:v>135.5</c:v>
                </c:pt>
                <c:pt idx="4">
                  <c:v>135.5</c:v>
                </c:pt>
                <c:pt idx="5">
                  <c:v>135.5</c:v>
                </c:pt>
                <c:pt idx="6">
                  <c:v>135.5</c:v>
                </c:pt>
                <c:pt idx="7">
                  <c:v>135.5</c:v>
                </c:pt>
                <c:pt idx="8">
                  <c:v>135.5</c:v>
                </c:pt>
                <c:pt idx="9">
                  <c:v>135.5</c:v>
                </c:pt>
                <c:pt idx="10">
                  <c:v>135.5</c:v>
                </c:pt>
                <c:pt idx="11">
                  <c:v>135.5</c:v>
                </c:pt>
                <c:pt idx="12">
                  <c:v>135.5</c:v>
                </c:pt>
                <c:pt idx="13">
                  <c:v>135.5</c:v>
                </c:pt>
                <c:pt idx="14">
                  <c:v>135.5</c:v>
                </c:pt>
                <c:pt idx="15">
                  <c:v>135.5</c:v>
                </c:pt>
                <c:pt idx="16">
                  <c:v>135.5</c:v>
                </c:pt>
              </c:numCache>
            </c:numRef>
          </c:val>
          <c:smooth val="0"/>
        </c:ser>
        <c:marker val="1"/>
        <c:axId val="26190086"/>
        <c:axId val="34384183"/>
      </c:lineChart>
      <c:catAx>
        <c:axId val="26190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Futures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975" b="1" i="1" u="none" baseline="0">
                <a:latin typeface="Arial"/>
                <a:ea typeface="Arial"/>
                <a:cs typeface="Arial"/>
              </a:defRPr>
            </a:pPr>
          </a:p>
        </c:txPr>
        <c:crossAx val="34384183"/>
        <c:crosses val="autoZero"/>
        <c:auto val="1"/>
        <c:lblOffset val="100"/>
        <c:noMultiLvlLbl val="0"/>
      </c:catAx>
      <c:valAx>
        <c:axId val="34384183"/>
        <c:scaling>
          <c:orientation val="minMax"/>
          <c:max val="155"/>
          <c:min val="1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Net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2619008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75" b="1" i="1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1" u="none" baseline="0">
                <a:latin typeface="Arial"/>
                <a:ea typeface="Arial"/>
                <a:cs typeface="Arial"/>
              </a:rPr>
              <a:t>Price Floor and Fences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'Graphs Data'!$E$2</c:f>
              <c:strCache>
                <c:ptCount val="1"/>
                <c:pt idx="0">
                  <c:v>Cash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'Graphs Data'!$C$8:$C$24</c:f>
              <c:numCache>
                <c:ptCount val="17"/>
                <c:pt idx="0">
                  <c:v>120</c:v>
                </c:pt>
                <c:pt idx="1">
                  <c:v>122</c:v>
                </c:pt>
                <c:pt idx="2">
                  <c:v>124</c:v>
                </c:pt>
                <c:pt idx="3">
                  <c:v>126</c:v>
                </c:pt>
                <c:pt idx="4">
                  <c:v>128</c:v>
                </c:pt>
                <c:pt idx="5">
                  <c:v>130</c:v>
                </c:pt>
                <c:pt idx="6">
                  <c:v>132</c:v>
                </c:pt>
                <c:pt idx="7">
                  <c:v>134</c:v>
                </c:pt>
                <c:pt idx="8">
                  <c:v>136</c:v>
                </c:pt>
                <c:pt idx="9">
                  <c:v>138</c:v>
                </c:pt>
                <c:pt idx="10">
                  <c:v>140</c:v>
                </c:pt>
                <c:pt idx="11">
                  <c:v>142</c:v>
                </c:pt>
                <c:pt idx="12">
                  <c:v>144</c:v>
                </c:pt>
                <c:pt idx="13">
                  <c:v>146</c:v>
                </c:pt>
                <c:pt idx="14">
                  <c:v>148</c:v>
                </c:pt>
                <c:pt idx="15">
                  <c:v>150</c:v>
                </c:pt>
                <c:pt idx="16">
                  <c:v>152</c:v>
                </c:pt>
              </c:numCache>
            </c:numRef>
          </c:cat>
          <c:val>
            <c:numRef>
              <c:f>'Graphs Data'!$E$8:$E$24</c:f>
              <c:numCache>
                <c:ptCount val="17"/>
                <c:pt idx="0">
                  <c:v>119.5</c:v>
                </c:pt>
                <c:pt idx="1">
                  <c:v>121.5</c:v>
                </c:pt>
                <c:pt idx="2">
                  <c:v>123.5</c:v>
                </c:pt>
                <c:pt idx="3">
                  <c:v>125.5</c:v>
                </c:pt>
                <c:pt idx="4">
                  <c:v>127.5</c:v>
                </c:pt>
                <c:pt idx="5">
                  <c:v>129.5</c:v>
                </c:pt>
                <c:pt idx="6">
                  <c:v>131.5</c:v>
                </c:pt>
                <c:pt idx="7">
                  <c:v>133.5</c:v>
                </c:pt>
                <c:pt idx="8">
                  <c:v>135.5</c:v>
                </c:pt>
                <c:pt idx="9">
                  <c:v>137.5</c:v>
                </c:pt>
                <c:pt idx="10">
                  <c:v>139.5</c:v>
                </c:pt>
                <c:pt idx="11">
                  <c:v>141.5</c:v>
                </c:pt>
                <c:pt idx="12">
                  <c:v>143.5</c:v>
                </c:pt>
                <c:pt idx="13">
                  <c:v>145.5</c:v>
                </c:pt>
                <c:pt idx="14">
                  <c:v>147.5</c:v>
                </c:pt>
                <c:pt idx="15">
                  <c:v>149.5</c:v>
                </c:pt>
                <c:pt idx="16">
                  <c:v>151.5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'Graphs Data'!$I$3</c:f>
              <c:strCache>
                <c:ptCount val="1"/>
                <c:pt idx="0">
                  <c:v>132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'Graphs Data'!$C$8:$C$24</c:f>
              <c:numCache>
                <c:ptCount val="17"/>
                <c:pt idx="0">
                  <c:v>120</c:v>
                </c:pt>
                <c:pt idx="1">
                  <c:v>122</c:v>
                </c:pt>
                <c:pt idx="2">
                  <c:v>124</c:v>
                </c:pt>
                <c:pt idx="3">
                  <c:v>126</c:v>
                </c:pt>
                <c:pt idx="4">
                  <c:v>128</c:v>
                </c:pt>
                <c:pt idx="5">
                  <c:v>130</c:v>
                </c:pt>
                <c:pt idx="6">
                  <c:v>132</c:v>
                </c:pt>
                <c:pt idx="7">
                  <c:v>134</c:v>
                </c:pt>
                <c:pt idx="8">
                  <c:v>136</c:v>
                </c:pt>
                <c:pt idx="9">
                  <c:v>138</c:v>
                </c:pt>
                <c:pt idx="10">
                  <c:v>140</c:v>
                </c:pt>
                <c:pt idx="11">
                  <c:v>142</c:v>
                </c:pt>
                <c:pt idx="12">
                  <c:v>144</c:v>
                </c:pt>
                <c:pt idx="13">
                  <c:v>146</c:v>
                </c:pt>
                <c:pt idx="14">
                  <c:v>148</c:v>
                </c:pt>
                <c:pt idx="15">
                  <c:v>150</c:v>
                </c:pt>
                <c:pt idx="16">
                  <c:v>152</c:v>
                </c:pt>
              </c:numCache>
            </c:numRef>
          </c:cat>
          <c:val>
            <c:numRef>
              <c:f>'Graphs Data'!$I$8:$I$24</c:f>
              <c:numCache>
                <c:ptCount val="17"/>
                <c:pt idx="0">
                  <c:v>129.08</c:v>
                </c:pt>
                <c:pt idx="1">
                  <c:v>129.08</c:v>
                </c:pt>
                <c:pt idx="2">
                  <c:v>129.08</c:v>
                </c:pt>
                <c:pt idx="3">
                  <c:v>129.08</c:v>
                </c:pt>
                <c:pt idx="4">
                  <c:v>129.08</c:v>
                </c:pt>
                <c:pt idx="5">
                  <c:v>129.08</c:v>
                </c:pt>
                <c:pt idx="6">
                  <c:v>129.08</c:v>
                </c:pt>
                <c:pt idx="7">
                  <c:v>131.08</c:v>
                </c:pt>
                <c:pt idx="8">
                  <c:v>133.08</c:v>
                </c:pt>
                <c:pt idx="9">
                  <c:v>135.08</c:v>
                </c:pt>
                <c:pt idx="10">
                  <c:v>137.08</c:v>
                </c:pt>
                <c:pt idx="11">
                  <c:v>139.08</c:v>
                </c:pt>
                <c:pt idx="12">
                  <c:v>141.08</c:v>
                </c:pt>
                <c:pt idx="13">
                  <c:v>143.08</c:v>
                </c:pt>
                <c:pt idx="14">
                  <c:v>145.08</c:v>
                </c:pt>
                <c:pt idx="15">
                  <c:v>147.08</c:v>
                </c:pt>
                <c:pt idx="16">
                  <c:v>149.08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'Graphs Data'!$F$2</c:f>
              <c:strCache>
                <c:ptCount val="1"/>
                <c:pt idx="0">
                  <c:v>Hedge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'Graphs Data'!$C$8:$C$24</c:f>
              <c:numCache>
                <c:ptCount val="17"/>
                <c:pt idx="0">
                  <c:v>120</c:v>
                </c:pt>
                <c:pt idx="1">
                  <c:v>122</c:v>
                </c:pt>
                <c:pt idx="2">
                  <c:v>124</c:v>
                </c:pt>
                <c:pt idx="3">
                  <c:v>126</c:v>
                </c:pt>
                <c:pt idx="4">
                  <c:v>128</c:v>
                </c:pt>
                <c:pt idx="5">
                  <c:v>130</c:v>
                </c:pt>
                <c:pt idx="6">
                  <c:v>132</c:v>
                </c:pt>
                <c:pt idx="7">
                  <c:v>134</c:v>
                </c:pt>
                <c:pt idx="8">
                  <c:v>136</c:v>
                </c:pt>
                <c:pt idx="9">
                  <c:v>138</c:v>
                </c:pt>
                <c:pt idx="10">
                  <c:v>140</c:v>
                </c:pt>
                <c:pt idx="11">
                  <c:v>142</c:v>
                </c:pt>
                <c:pt idx="12">
                  <c:v>144</c:v>
                </c:pt>
                <c:pt idx="13">
                  <c:v>146</c:v>
                </c:pt>
                <c:pt idx="14">
                  <c:v>148</c:v>
                </c:pt>
                <c:pt idx="15">
                  <c:v>150</c:v>
                </c:pt>
                <c:pt idx="16">
                  <c:v>152</c:v>
                </c:pt>
              </c:numCache>
            </c:numRef>
          </c:cat>
          <c:val>
            <c:numRef>
              <c:f>'Graphs Data'!$F$8:$F$24</c:f>
              <c:numCache>
                <c:ptCount val="17"/>
                <c:pt idx="0">
                  <c:v>135.5</c:v>
                </c:pt>
                <c:pt idx="1">
                  <c:v>135.5</c:v>
                </c:pt>
                <c:pt idx="2">
                  <c:v>135.5</c:v>
                </c:pt>
                <c:pt idx="3">
                  <c:v>135.5</c:v>
                </c:pt>
                <c:pt idx="4">
                  <c:v>135.5</c:v>
                </c:pt>
                <c:pt idx="5">
                  <c:v>135.5</c:v>
                </c:pt>
                <c:pt idx="6">
                  <c:v>135.5</c:v>
                </c:pt>
                <c:pt idx="7">
                  <c:v>135.5</c:v>
                </c:pt>
                <c:pt idx="8">
                  <c:v>135.5</c:v>
                </c:pt>
                <c:pt idx="9">
                  <c:v>135.5</c:v>
                </c:pt>
                <c:pt idx="10">
                  <c:v>135.5</c:v>
                </c:pt>
                <c:pt idx="11">
                  <c:v>135.5</c:v>
                </c:pt>
                <c:pt idx="12">
                  <c:v>135.5</c:v>
                </c:pt>
                <c:pt idx="13">
                  <c:v>135.5</c:v>
                </c:pt>
                <c:pt idx="14">
                  <c:v>135.5</c:v>
                </c:pt>
                <c:pt idx="15">
                  <c:v>135.5</c:v>
                </c:pt>
                <c:pt idx="16">
                  <c:v>135.5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'Graphs Data'!$K$2</c:f>
              <c:strCache>
                <c:ptCount val="1"/>
                <c:pt idx="0">
                  <c:v>Fence1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'Graphs Data'!$C$8:$C$24</c:f>
              <c:numCache>
                <c:ptCount val="17"/>
                <c:pt idx="0">
                  <c:v>120</c:v>
                </c:pt>
                <c:pt idx="1">
                  <c:v>122</c:v>
                </c:pt>
                <c:pt idx="2">
                  <c:v>124</c:v>
                </c:pt>
                <c:pt idx="3">
                  <c:v>126</c:v>
                </c:pt>
                <c:pt idx="4">
                  <c:v>128</c:v>
                </c:pt>
                <c:pt idx="5">
                  <c:v>130</c:v>
                </c:pt>
                <c:pt idx="6">
                  <c:v>132</c:v>
                </c:pt>
                <c:pt idx="7">
                  <c:v>134</c:v>
                </c:pt>
                <c:pt idx="8">
                  <c:v>136</c:v>
                </c:pt>
                <c:pt idx="9">
                  <c:v>138</c:v>
                </c:pt>
                <c:pt idx="10">
                  <c:v>140</c:v>
                </c:pt>
                <c:pt idx="11">
                  <c:v>142</c:v>
                </c:pt>
                <c:pt idx="12">
                  <c:v>144</c:v>
                </c:pt>
                <c:pt idx="13">
                  <c:v>146</c:v>
                </c:pt>
                <c:pt idx="14">
                  <c:v>148</c:v>
                </c:pt>
                <c:pt idx="15">
                  <c:v>150</c:v>
                </c:pt>
                <c:pt idx="16">
                  <c:v>152</c:v>
                </c:pt>
              </c:numCache>
            </c:numRef>
          </c:cat>
          <c:val>
            <c:numRef>
              <c:f>'Graphs Data'!$K$8:$K$24</c:f>
              <c:numCache>
                <c:ptCount val="17"/>
                <c:pt idx="0">
                  <c:v>131.03</c:v>
                </c:pt>
                <c:pt idx="1">
                  <c:v>131.03</c:v>
                </c:pt>
                <c:pt idx="2">
                  <c:v>131.03</c:v>
                </c:pt>
                <c:pt idx="3">
                  <c:v>131.03</c:v>
                </c:pt>
                <c:pt idx="4">
                  <c:v>131.03</c:v>
                </c:pt>
                <c:pt idx="5">
                  <c:v>131.03</c:v>
                </c:pt>
                <c:pt idx="6">
                  <c:v>131.03</c:v>
                </c:pt>
                <c:pt idx="7">
                  <c:v>133.03</c:v>
                </c:pt>
                <c:pt idx="8">
                  <c:v>135.03</c:v>
                </c:pt>
                <c:pt idx="9">
                  <c:v>137.03</c:v>
                </c:pt>
                <c:pt idx="10">
                  <c:v>139.03</c:v>
                </c:pt>
                <c:pt idx="11">
                  <c:v>141.03</c:v>
                </c:pt>
                <c:pt idx="12">
                  <c:v>141.03</c:v>
                </c:pt>
                <c:pt idx="13">
                  <c:v>141.03</c:v>
                </c:pt>
                <c:pt idx="14">
                  <c:v>141.03</c:v>
                </c:pt>
                <c:pt idx="15">
                  <c:v>141.03</c:v>
                </c:pt>
                <c:pt idx="16">
                  <c:v>141.03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'Graphs Data'!$L$2</c:f>
              <c:strCache>
                <c:ptCount val="1"/>
                <c:pt idx="0">
                  <c:v>Fence2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'Graphs Data'!$C$8:$C$24</c:f>
              <c:numCache>
                <c:ptCount val="17"/>
                <c:pt idx="0">
                  <c:v>120</c:v>
                </c:pt>
                <c:pt idx="1">
                  <c:v>122</c:v>
                </c:pt>
                <c:pt idx="2">
                  <c:v>124</c:v>
                </c:pt>
                <c:pt idx="3">
                  <c:v>126</c:v>
                </c:pt>
                <c:pt idx="4">
                  <c:v>128</c:v>
                </c:pt>
                <c:pt idx="5">
                  <c:v>130</c:v>
                </c:pt>
                <c:pt idx="6">
                  <c:v>132</c:v>
                </c:pt>
                <c:pt idx="7">
                  <c:v>134</c:v>
                </c:pt>
                <c:pt idx="8">
                  <c:v>136</c:v>
                </c:pt>
                <c:pt idx="9">
                  <c:v>138</c:v>
                </c:pt>
                <c:pt idx="10">
                  <c:v>140</c:v>
                </c:pt>
                <c:pt idx="11">
                  <c:v>142</c:v>
                </c:pt>
                <c:pt idx="12">
                  <c:v>144</c:v>
                </c:pt>
                <c:pt idx="13">
                  <c:v>146</c:v>
                </c:pt>
                <c:pt idx="14">
                  <c:v>148</c:v>
                </c:pt>
                <c:pt idx="15">
                  <c:v>150</c:v>
                </c:pt>
                <c:pt idx="16">
                  <c:v>152</c:v>
                </c:pt>
              </c:numCache>
            </c:numRef>
          </c:cat>
          <c:val>
            <c:numRef>
              <c:f>'Graphs Data'!$L$8:$L$24</c:f>
              <c:numCache>
                <c:ptCount val="17"/>
                <c:pt idx="0">
                  <c:v>130.55</c:v>
                </c:pt>
                <c:pt idx="1">
                  <c:v>130.55</c:v>
                </c:pt>
                <c:pt idx="2">
                  <c:v>130.55</c:v>
                </c:pt>
                <c:pt idx="3">
                  <c:v>130.55</c:v>
                </c:pt>
                <c:pt idx="4">
                  <c:v>130.55</c:v>
                </c:pt>
                <c:pt idx="5">
                  <c:v>130.55</c:v>
                </c:pt>
                <c:pt idx="6">
                  <c:v>130.55</c:v>
                </c:pt>
                <c:pt idx="7">
                  <c:v>132.55</c:v>
                </c:pt>
                <c:pt idx="8">
                  <c:v>134.55</c:v>
                </c:pt>
                <c:pt idx="9">
                  <c:v>136.55</c:v>
                </c:pt>
                <c:pt idx="10">
                  <c:v>138.55</c:v>
                </c:pt>
                <c:pt idx="11">
                  <c:v>140.55</c:v>
                </c:pt>
                <c:pt idx="12">
                  <c:v>142.55</c:v>
                </c:pt>
                <c:pt idx="13">
                  <c:v>142.55</c:v>
                </c:pt>
                <c:pt idx="14">
                  <c:v>142.55</c:v>
                </c:pt>
                <c:pt idx="15">
                  <c:v>142.55</c:v>
                </c:pt>
                <c:pt idx="16">
                  <c:v>142.55</c:v>
                </c:pt>
              </c:numCache>
            </c:numRef>
          </c:val>
          <c:smooth val="0"/>
        </c:ser>
        <c:marker val="1"/>
        <c:axId val="41022192"/>
        <c:axId val="33655409"/>
      </c:lineChart>
      <c:catAx>
        <c:axId val="41022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Futures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975" b="1" i="1" u="none" baseline="0">
                <a:latin typeface="Arial"/>
                <a:ea typeface="Arial"/>
                <a:cs typeface="Arial"/>
              </a:defRPr>
            </a:pPr>
          </a:p>
        </c:txPr>
        <c:crossAx val="33655409"/>
        <c:crosses val="autoZero"/>
        <c:auto val="1"/>
        <c:lblOffset val="100"/>
        <c:noMultiLvlLbl val="0"/>
      </c:catAx>
      <c:valAx>
        <c:axId val="33655409"/>
        <c:scaling>
          <c:orientation val="minMax"/>
          <c:max val="155"/>
          <c:min val="1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Net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41022192"/>
        <c:crossesAt val="1"/>
        <c:crossBetween val="between"/>
        <c:dispUnits/>
        <c:majorUnit val="5"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75" b="1" i="1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239125"/>
    <xdr:graphicFrame>
      <xdr:nvGraphicFramePr>
        <xdr:cNvPr id="1" name="Shape 1025"/>
        <xdr:cNvGraphicFramePr/>
      </xdr:nvGraphicFramePr>
      <xdr:xfrm>
        <a:off x="0" y="0"/>
        <a:ext cx="1215390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239125"/>
    <xdr:graphicFrame>
      <xdr:nvGraphicFramePr>
        <xdr:cNvPr id="1" name="Shape 1025"/>
        <xdr:cNvGraphicFramePr/>
      </xdr:nvGraphicFramePr>
      <xdr:xfrm>
        <a:off x="0" y="0"/>
        <a:ext cx="1215390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239125"/>
    <xdr:graphicFrame>
      <xdr:nvGraphicFramePr>
        <xdr:cNvPr id="1" name="Shape 1025"/>
        <xdr:cNvGraphicFramePr/>
      </xdr:nvGraphicFramePr>
      <xdr:xfrm>
        <a:off x="0" y="0"/>
        <a:ext cx="1215390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239125"/>
    <xdr:graphicFrame>
      <xdr:nvGraphicFramePr>
        <xdr:cNvPr id="1" name="Shape 1025"/>
        <xdr:cNvGraphicFramePr/>
      </xdr:nvGraphicFramePr>
      <xdr:xfrm>
        <a:off x="0" y="0"/>
        <a:ext cx="1215390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0"/>
  <sheetViews>
    <sheetView tabSelected="1" zoomScale="125" zoomScaleNormal="125" workbookViewId="0" topLeftCell="A1">
      <selection activeCell="A6" sqref="A6"/>
    </sheetView>
  </sheetViews>
  <sheetFormatPr defaultColWidth="9.140625" defaultRowHeight="12.75"/>
  <cols>
    <col min="1" max="1" width="100.7109375" style="25" customWidth="1"/>
  </cols>
  <sheetData>
    <row r="2" ht="12.75">
      <c r="A2" s="25" t="s">
        <v>47</v>
      </c>
    </row>
    <row r="4" ht="25.5">
      <c r="A4" s="25" t="s">
        <v>48</v>
      </c>
    </row>
    <row r="6" ht="12.75">
      <c r="A6" s="26" t="s">
        <v>49</v>
      </c>
    </row>
    <row r="8" ht="25.5">
      <c r="A8" s="25" t="s">
        <v>50</v>
      </c>
    </row>
    <row r="10" ht="25.5">
      <c r="A10" s="25" t="s">
        <v>51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32" customWidth="1"/>
    <col min="2" max="2" width="15.00390625" style="32" bestFit="1" customWidth="1"/>
    <col min="3" max="16384" width="9.140625" style="32" customWidth="1"/>
  </cols>
  <sheetData>
    <row r="1" ht="13.5" thickBot="1"/>
    <row r="2" spans="1:10" ht="12.75">
      <c r="A2" s="33"/>
      <c r="B2" s="71" t="s">
        <v>88</v>
      </c>
      <c r="C2" s="72"/>
      <c r="D2" s="72"/>
      <c r="E2" s="72"/>
      <c r="F2" s="72"/>
      <c r="G2" s="72"/>
      <c r="H2" s="72"/>
      <c r="I2" s="72"/>
      <c r="J2" s="73"/>
    </row>
    <row r="3" spans="2:10" ht="12.75">
      <c r="B3" s="41"/>
      <c r="C3" s="74" t="s">
        <v>76</v>
      </c>
      <c r="D3" s="75"/>
      <c r="E3" s="38"/>
      <c r="F3" s="38"/>
      <c r="G3" s="76" t="s">
        <v>89</v>
      </c>
      <c r="H3" s="77"/>
      <c r="I3" s="38"/>
      <c r="J3" s="42"/>
    </row>
    <row r="4" spans="1:10" ht="13.5" thickBot="1">
      <c r="A4" s="34"/>
      <c r="B4" s="43" t="s">
        <v>62</v>
      </c>
      <c r="C4" s="80">
        <v>136.3</v>
      </c>
      <c r="D4" s="80"/>
      <c r="E4" s="44"/>
      <c r="F4" s="44"/>
      <c r="G4" s="81">
        <v>137.275</v>
      </c>
      <c r="H4" s="81"/>
      <c r="I4" s="45"/>
      <c r="J4" s="46"/>
    </row>
    <row r="5" spans="1:9" ht="13.5" thickBot="1">
      <c r="A5" s="34"/>
      <c r="B5" s="39"/>
      <c r="C5" s="40"/>
      <c r="D5" s="40"/>
      <c r="E5" s="40"/>
      <c r="F5" s="40"/>
      <c r="G5" s="40"/>
      <c r="H5" s="40"/>
      <c r="I5" s="38"/>
    </row>
    <row r="6" spans="2:10" ht="12.75">
      <c r="B6" s="50" t="s">
        <v>63</v>
      </c>
      <c r="C6" s="51"/>
      <c r="D6" s="51"/>
      <c r="E6" s="51"/>
      <c r="F6" s="51"/>
      <c r="G6" s="61"/>
      <c r="H6" s="61"/>
      <c r="I6" s="62"/>
      <c r="J6" s="63"/>
    </row>
    <row r="7" spans="2:10" ht="12.75">
      <c r="B7" s="41" t="s">
        <v>64</v>
      </c>
      <c r="C7" s="78" t="s">
        <v>65</v>
      </c>
      <c r="D7" s="78"/>
      <c r="E7" s="52" t="s">
        <v>68</v>
      </c>
      <c r="F7" s="52" t="s">
        <v>69</v>
      </c>
      <c r="G7" s="79" t="s">
        <v>65</v>
      </c>
      <c r="H7" s="79"/>
      <c r="I7" s="64" t="s">
        <v>68</v>
      </c>
      <c r="J7" s="65" t="s">
        <v>69</v>
      </c>
    </row>
    <row r="8" spans="2:10" ht="12.75">
      <c r="B8" s="47">
        <v>124</v>
      </c>
      <c r="C8" s="52">
        <v>0.87</v>
      </c>
      <c r="D8" s="52" t="s">
        <v>66</v>
      </c>
      <c r="E8" s="52">
        <f>MAX($B8-C$4,0)</f>
        <v>0</v>
      </c>
      <c r="F8" s="52">
        <f>C8-E8</f>
        <v>0.87</v>
      </c>
      <c r="G8" s="64">
        <v>1</v>
      </c>
      <c r="H8" s="64" t="s">
        <v>66</v>
      </c>
      <c r="I8" s="64">
        <f aca="true" t="shared" si="0" ref="I8:I18">MAX($B8-G$4,0)</f>
        <v>0</v>
      </c>
      <c r="J8" s="65">
        <f aca="true" t="shared" si="1" ref="J8:J18">G8-I8</f>
        <v>1</v>
      </c>
    </row>
    <row r="9" spans="2:10" ht="12.75">
      <c r="B9" s="47">
        <f>B8+2</f>
        <v>126</v>
      </c>
      <c r="C9" s="52">
        <v>1.12</v>
      </c>
      <c r="D9" s="52" t="s">
        <v>66</v>
      </c>
      <c r="E9" s="52">
        <f aca="true" t="shared" si="2" ref="E9:E15">MAX($B9-C$4,0)</f>
        <v>0</v>
      </c>
      <c r="F9" s="52">
        <f aca="true" t="shared" si="3" ref="F9:F15">C9-E9</f>
        <v>1.12</v>
      </c>
      <c r="G9" s="64">
        <v>1.25</v>
      </c>
      <c r="H9" s="64" t="s">
        <v>66</v>
      </c>
      <c r="I9" s="64">
        <f t="shared" si="0"/>
        <v>0</v>
      </c>
      <c r="J9" s="65">
        <f t="shared" si="1"/>
        <v>1.25</v>
      </c>
    </row>
    <row r="10" spans="1:10" ht="12.75">
      <c r="A10" s="33"/>
      <c r="B10" s="47">
        <f aca="true" t="shared" si="4" ref="B10:B18">B9+2</f>
        <v>128</v>
      </c>
      <c r="C10" s="52">
        <v>1.42</v>
      </c>
      <c r="D10" s="52" t="s">
        <v>66</v>
      </c>
      <c r="E10" s="52">
        <f t="shared" si="2"/>
        <v>0</v>
      </c>
      <c r="F10" s="52">
        <f t="shared" si="3"/>
        <v>1.42</v>
      </c>
      <c r="G10" s="64">
        <v>1.55</v>
      </c>
      <c r="H10" s="64" t="s">
        <v>66</v>
      </c>
      <c r="I10" s="64">
        <f t="shared" si="0"/>
        <v>0</v>
      </c>
      <c r="J10" s="65">
        <f t="shared" si="1"/>
        <v>1.55</v>
      </c>
    </row>
    <row r="11" spans="2:10" ht="12.75">
      <c r="B11" s="47">
        <f t="shared" si="4"/>
        <v>130</v>
      </c>
      <c r="C11" s="52">
        <v>1.85</v>
      </c>
      <c r="D11" s="52" t="s">
        <v>66</v>
      </c>
      <c r="E11" s="52">
        <f t="shared" si="2"/>
        <v>0</v>
      </c>
      <c r="F11" s="52">
        <f t="shared" si="3"/>
        <v>1.85</v>
      </c>
      <c r="G11" s="64">
        <v>2</v>
      </c>
      <c r="H11" s="64" t="s">
        <v>66</v>
      </c>
      <c r="I11" s="64">
        <f t="shared" si="0"/>
        <v>0</v>
      </c>
      <c r="J11" s="65">
        <f t="shared" si="1"/>
        <v>2</v>
      </c>
    </row>
    <row r="12" spans="1:10" ht="12.75">
      <c r="A12" s="34"/>
      <c r="B12" s="47">
        <f t="shared" si="4"/>
        <v>132</v>
      </c>
      <c r="C12" s="52">
        <v>2.42</v>
      </c>
      <c r="D12" s="52" t="s">
        <v>66</v>
      </c>
      <c r="E12" s="52">
        <f t="shared" si="2"/>
        <v>0</v>
      </c>
      <c r="F12" s="52">
        <f t="shared" si="3"/>
        <v>2.42</v>
      </c>
      <c r="G12" s="64">
        <v>2.57</v>
      </c>
      <c r="H12" s="64" t="s">
        <v>66</v>
      </c>
      <c r="I12" s="64">
        <f t="shared" si="0"/>
        <v>0</v>
      </c>
      <c r="J12" s="65">
        <f t="shared" si="1"/>
        <v>2.57</v>
      </c>
    </row>
    <row r="13" spans="2:10" ht="12.75">
      <c r="B13" s="47">
        <f t="shared" si="4"/>
        <v>134</v>
      </c>
      <c r="C13" s="52">
        <v>3.1</v>
      </c>
      <c r="D13" s="52" t="s">
        <v>66</v>
      </c>
      <c r="E13" s="52">
        <f t="shared" si="2"/>
        <v>0</v>
      </c>
      <c r="F13" s="52">
        <f t="shared" si="3"/>
        <v>3.1</v>
      </c>
      <c r="G13" s="64">
        <v>3.25</v>
      </c>
      <c r="H13" s="64" t="s">
        <v>66</v>
      </c>
      <c r="I13" s="64">
        <f t="shared" si="0"/>
        <v>0</v>
      </c>
      <c r="J13" s="65">
        <f t="shared" si="1"/>
        <v>3.25</v>
      </c>
    </row>
    <row r="14" spans="2:10" ht="12.75">
      <c r="B14" s="68">
        <f t="shared" si="4"/>
        <v>136</v>
      </c>
      <c r="C14" s="52">
        <v>4</v>
      </c>
      <c r="D14" s="52" t="s">
        <v>70</v>
      </c>
      <c r="E14" s="52">
        <f t="shared" si="2"/>
        <v>0</v>
      </c>
      <c r="F14" s="52">
        <f t="shared" si="3"/>
        <v>4</v>
      </c>
      <c r="G14" s="64">
        <v>4</v>
      </c>
      <c r="H14" s="64" t="s">
        <v>66</v>
      </c>
      <c r="I14" s="64">
        <f t="shared" si="0"/>
        <v>0</v>
      </c>
      <c r="J14" s="65">
        <f t="shared" si="1"/>
        <v>4</v>
      </c>
    </row>
    <row r="15" spans="2:10" ht="12.75">
      <c r="B15" s="47">
        <f t="shared" si="4"/>
        <v>138</v>
      </c>
      <c r="C15" s="52">
        <v>5.07</v>
      </c>
      <c r="D15" s="52" t="s">
        <v>67</v>
      </c>
      <c r="E15" s="52">
        <f t="shared" si="2"/>
        <v>1.6999999999999886</v>
      </c>
      <c r="F15" s="52">
        <f t="shared" si="3"/>
        <v>3.3700000000000117</v>
      </c>
      <c r="G15" s="64">
        <v>4.87</v>
      </c>
      <c r="H15" s="64" t="s">
        <v>71</v>
      </c>
      <c r="I15" s="64">
        <f t="shared" si="0"/>
        <v>0.7249999999999943</v>
      </c>
      <c r="J15" s="65">
        <f t="shared" si="1"/>
        <v>4.145000000000006</v>
      </c>
    </row>
    <row r="16" spans="2:10" ht="12.75">
      <c r="B16" s="47">
        <f t="shared" si="4"/>
        <v>140</v>
      </c>
      <c r="C16" s="52">
        <v>6.3</v>
      </c>
      <c r="D16" s="52" t="s">
        <v>67</v>
      </c>
      <c r="E16" s="52">
        <f>MAX($B16-C$4,0)</f>
        <v>3.6999999999999886</v>
      </c>
      <c r="F16" s="52">
        <f>C16-E16</f>
        <v>2.600000000000011</v>
      </c>
      <c r="G16" s="64">
        <v>5.9</v>
      </c>
      <c r="H16" s="64" t="s">
        <v>67</v>
      </c>
      <c r="I16" s="64">
        <f t="shared" si="0"/>
        <v>2.7249999999999943</v>
      </c>
      <c r="J16" s="65">
        <f t="shared" si="1"/>
        <v>3.175000000000006</v>
      </c>
    </row>
    <row r="17" spans="2:10" ht="12.75">
      <c r="B17" s="47">
        <f t="shared" si="4"/>
        <v>142</v>
      </c>
      <c r="C17" s="52">
        <v>7.65</v>
      </c>
      <c r="D17" s="52" t="s">
        <v>67</v>
      </c>
      <c r="E17" s="52">
        <f>MAX($B17-C$4,0)</f>
        <v>5.699999999999989</v>
      </c>
      <c r="F17" s="52">
        <f>C17-E17</f>
        <v>1.9500000000000117</v>
      </c>
      <c r="G17" s="64">
        <v>7.2</v>
      </c>
      <c r="H17" s="64" t="s">
        <v>67</v>
      </c>
      <c r="I17" s="64">
        <f t="shared" si="0"/>
        <v>4.724999999999994</v>
      </c>
      <c r="J17" s="65">
        <f t="shared" si="1"/>
        <v>2.475000000000006</v>
      </c>
    </row>
    <row r="18" spans="1:10" ht="13.5" thickBot="1">
      <c r="A18" s="35"/>
      <c r="B18" s="48">
        <f t="shared" si="4"/>
        <v>144</v>
      </c>
      <c r="C18" s="53">
        <v>9.15</v>
      </c>
      <c r="D18" s="53" t="s">
        <v>67</v>
      </c>
      <c r="E18" s="53">
        <f>MAX($B18-C$4,0)</f>
        <v>7.699999999999989</v>
      </c>
      <c r="F18" s="53">
        <f>C18-E18</f>
        <v>1.4500000000000117</v>
      </c>
      <c r="G18" s="66">
        <v>8.65</v>
      </c>
      <c r="H18" s="66" t="s">
        <v>67</v>
      </c>
      <c r="I18" s="66">
        <f t="shared" si="0"/>
        <v>6.724999999999994</v>
      </c>
      <c r="J18" s="67">
        <f t="shared" si="1"/>
        <v>1.925000000000006</v>
      </c>
    </row>
    <row r="19" spans="2:9" ht="13.5" thickBot="1">
      <c r="B19" s="36"/>
      <c r="C19" s="37"/>
      <c r="D19" s="37"/>
      <c r="E19" s="37"/>
      <c r="F19" s="37"/>
      <c r="G19" s="37"/>
      <c r="I19" s="37"/>
    </row>
    <row r="20" spans="1:10" ht="12.75">
      <c r="A20" s="34"/>
      <c r="B20" s="50" t="s">
        <v>73</v>
      </c>
      <c r="C20" s="51"/>
      <c r="D20" s="51"/>
      <c r="E20" s="51"/>
      <c r="F20" s="51"/>
      <c r="G20" s="61"/>
      <c r="H20" s="61"/>
      <c r="I20" s="62"/>
      <c r="J20" s="63"/>
    </row>
    <row r="21" spans="2:10" ht="12.75">
      <c r="B21" s="41" t="s">
        <v>64</v>
      </c>
      <c r="C21" s="78" t="s">
        <v>65</v>
      </c>
      <c r="D21" s="78"/>
      <c r="E21" s="52" t="s">
        <v>68</v>
      </c>
      <c r="F21" s="52" t="s">
        <v>69</v>
      </c>
      <c r="G21" s="79" t="s">
        <v>65</v>
      </c>
      <c r="H21" s="79"/>
      <c r="I21" s="64" t="s">
        <v>68</v>
      </c>
      <c r="J21" s="65" t="s">
        <v>69</v>
      </c>
    </row>
    <row r="22" spans="2:10" ht="12.75">
      <c r="B22" s="47">
        <v>126</v>
      </c>
      <c r="C22" s="52">
        <v>11.4</v>
      </c>
      <c r="D22" s="52" t="s">
        <v>67</v>
      </c>
      <c r="E22" s="52">
        <f aca="true" t="shared" si="5" ref="E22:E30">MAX(C$4-$B22,0)</f>
        <v>10.300000000000011</v>
      </c>
      <c r="F22" s="52">
        <f>C22-E22</f>
        <v>1.099999999999989</v>
      </c>
      <c r="G22" s="64" t="s">
        <v>72</v>
      </c>
      <c r="H22" s="64" t="s">
        <v>67</v>
      </c>
      <c r="I22" s="64"/>
      <c r="J22" s="65"/>
    </row>
    <row r="23" spans="2:10" ht="12.75">
      <c r="B23" s="47">
        <f>B22+2</f>
        <v>128</v>
      </c>
      <c r="C23" s="52">
        <v>9.7</v>
      </c>
      <c r="D23" s="52" t="s">
        <v>67</v>
      </c>
      <c r="E23" s="52">
        <f t="shared" si="5"/>
        <v>8.300000000000011</v>
      </c>
      <c r="F23" s="52">
        <f aca="true" t="shared" si="6" ref="F23:F30">C23-E23</f>
        <v>1.399999999999988</v>
      </c>
      <c r="G23" s="64">
        <v>10.8</v>
      </c>
      <c r="H23" s="64" t="s">
        <v>67</v>
      </c>
      <c r="I23" s="64">
        <f>MAX(G$4-$B23,0)</f>
        <v>9.275000000000006</v>
      </c>
      <c r="J23" s="65">
        <f>G23-I23</f>
        <v>1.524999999999995</v>
      </c>
    </row>
    <row r="24" spans="2:10" ht="12.75">
      <c r="B24" s="47">
        <f aca="true" t="shared" si="7" ref="B24:B32">B23+2</f>
        <v>130</v>
      </c>
      <c r="C24" s="52">
        <v>8.12</v>
      </c>
      <c r="D24" s="52" t="s">
        <v>67</v>
      </c>
      <c r="E24" s="52">
        <f t="shared" si="5"/>
        <v>6.300000000000011</v>
      </c>
      <c r="F24" s="52">
        <f t="shared" si="6"/>
        <v>1.8199999999999878</v>
      </c>
      <c r="G24" s="64">
        <v>9.25</v>
      </c>
      <c r="H24" s="64" t="s">
        <v>67</v>
      </c>
      <c r="I24" s="64">
        <f>MAX(G$4-$B24,0)</f>
        <v>7.275000000000006</v>
      </c>
      <c r="J24" s="65">
        <f>G24-I24</f>
        <v>1.9749999999999943</v>
      </c>
    </row>
    <row r="25" spans="1:10" ht="12.75">
      <c r="A25" s="35"/>
      <c r="B25" s="47">
        <f t="shared" si="7"/>
        <v>132</v>
      </c>
      <c r="C25" s="52">
        <v>6.72</v>
      </c>
      <c r="D25" s="52" t="s">
        <v>67</v>
      </c>
      <c r="E25" s="52">
        <f t="shared" si="5"/>
        <v>4.300000000000011</v>
      </c>
      <c r="F25" s="52">
        <f t="shared" si="6"/>
        <v>2.4199999999999884</v>
      </c>
      <c r="G25" s="64">
        <v>7.82</v>
      </c>
      <c r="H25" s="64" t="s">
        <v>67</v>
      </c>
      <c r="I25" s="64">
        <f>MAX(G$4-$B25,0)</f>
        <v>5.275000000000006</v>
      </c>
      <c r="J25" s="65">
        <f>G25-I25</f>
        <v>2.5449999999999946</v>
      </c>
    </row>
    <row r="26" spans="2:10" ht="12.75">
      <c r="B26" s="47">
        <f t="shared" si="7"/>
        <v>134</v>
      </c>
      <c r="C26" s="52">
        <v>5.4</v>
      </c>
      <c r="D26" s="52" t="s">
        <v>67</v>
      </c>
      <c r="E26" s="52">
        <f t="shared" si="5"/>
        <v>2.3000000000000114</v>
      </c>
      <c r="F26" s="52">
        <f t="shared" si="6"/>
        <v>3.099999999999989</v>
      </c>
      <c r="G26" s="64">
        <v>6.52</v>
      </c>
      <c r="H26" s="64" t="s">
        <v>67</v>
      </c>
      <c r="I26" s="64">
        <f aca="true" t="shared" si="8" ref="I26:I31">MAX(G$4-$B26,0)</f>
        <v>3.2750000000000057</v>
      </c>
      <c r="J26" s="65">
        <f aca="true" t="shared" si="9" ref="J26:J31">G26-I26</f>
        <v>3.244999999999994</v>
      </c>
    </row>
    <row r="27" spans="1:10" ht="12.75">
      <c r="A27" s="34"/>
      <c r="B27" s="68">
        <f t="shared" si="7"/>
        <v>136</v>
      </c>
      <c r="C27" s="52">
        <v>4.3</v>
      </c>
      <c r="D27" s="52" t="s">
        <v>71</v>
      </c>
      <c r="E27" s="52">
        <f t="shared" si="5"/>
        <v>0.30000000000001137</v>
      </c>
      <c r="F27" s="52">
        <f t="shared" si="6"/>
        <v>3.9999999999999885</v>
      </c>
      <c r="G27" s="64">
        <v>5.27</v>
      </c>
      <c r="H27" s="64" t="s">
        <v>67</v>
      </c>
      <c r="I27" s="64">
        <f t="shared" si="8"/>
        <v>1.2750000000000057</v>
      </c>
      <c r="J27" s="65">
        <f t="shared" si="9"/>
        <v>3.994999999999994</v>
      </c>
    </row>
    <row r="28" spans="2:10" ht="12.75">
      <c r="B28" s="47">
        <f t="shared" si="7"/>
        <v>138</v>
      </c>
      <c r="C28" s="52">
        <v>3.37</v>
      </c>
      <c r="D28" s="52" t="s">
        <v>66</v>
      </c>
      <c r="E28" s="52">
        <f t="shared" si="5"/>
        <v>0</v>
      </c>
      <c r="F28" s="52">
        <f t="shared" si="6"/>
        <v>3.37</v>
      </c>
      <c r="G28" s="64">
        <v>4.15</v>
      </c>
      <c r="H28" s="64" t="s">
        <v>70</v>
      </c>
      <c r="I28" s="64">
        <f t="shared" si="8"/>
        <v>0</v>
      </c>
      <c r="J28" s="65">
        <f t="shared" si="9"/>
        <v>4.15</v>
      </c>
    </row>
    <row r="29" spans="2:10" ht="12.75">
      <c r="B29" s="47">
        <f t="shared" si="7"/>
        <v>140</v>
      </c>
      <c r="C29" s="52">
        <v>2.6</v>
      </c>
      <c r="D29" s="52" t="s">
        <v>66</v>
      </c>
      <c r="E29" s="52">
        <f t="shared" si="5"/>
        <v>0</v>
      </c>
      <c r="F29" s="52">
        <f t="shared" si="6"/>
        <v>2.6</v>
      </c>
      <c r="G29" s="64">
        <v>3.17</v>
      </c>
      <c r="H29" s="64" t="s">
        <v>66</v>
      </c>
      <c r="I29" s="64">
        <f t="shared" si="8"/>
        <v>0</v>
      </c>
      <c r="J29" s="65">
        <f t="shared" si="9"/>
        <v>3.17</v>
      </c>
    </row>
    <row r="30" spans="2:10" ht="12.75">
      <c r="B30" s="47">
        <f t="shared" si="7"/>
        <v>142</v>
      </c>
      <c r="C30" s="52">
        <v>1.95</v>
      </c>
      <c r="D30" s="52" t="s">
        <v>66</v>
      </c>
      <c r="E30" s="52">
        <f t="shared" si="5"/>
        <v>0</v>
      </c>
      <c r="F30" s="52">
        <f t="shared" si="6"/>
        <v>1.95</v>
      </c>
      <c r="G30" s="64">
        <v>2.5</v>
      </c>
      <c r="H30" s="64" t="s">
        <v>66</v>
      </c>
      <c r="I30" s="64">
        <f t="shared" si="8"/>
        <v>0</v>
      </c>
      <c r="J30" s="65">
        <f t="shared" si="9"/>
        <v>2.5</v>
      </c>
    </row>
    <row r="31" spans="2:10" ht="12.75">
      <c r="B31" s="47">
        <f t="shared" si="7"/>
        <v>144</v>
      </c>
      <c r="C31" s="52">
        <v>1.47</v>
      </c>
      <c r="D31" s="52" t="s">
        <v>66</v>
      </c>
      <c r="E31" s="52">
        <f>MAX(C$4-$B31,0)</f>
        <v>0</v>
      </c>
      <c r="F31" s="52">
        <f>C31-E31</f>
        <v>1.47</v>
      </c>
      <c r="G31" s="64">
        <v>1.95</v>
      </c>
      <c r="H31" s="64" t="s">
        <v>66</v>
      </c>
      <c r="I31" s="64">
        <f t="shared" si="8"/>
        <v>0</v>
      </c>
      <c r="J31" s="65">
        <f t="shared" si="9"/>
        <v>1.95</v>
      </c>
    </row>
    <row r="32" spans="2:10" ht="13.5" thickBot="1">
      <c r="B32" s="48">
        <f t="shared" si="7"/>
        <v>146</v>
      </c>
      <c r="C32" s="53">
        <v>1.1</v>
      </c>
      <c r="D32" s="53" t="s">
        <v>66</v>
      </c>
      <c r="E32" s="53">
        <f>MAX(C$4-$B32,0)</f>
        <v>0</v>
      </c>
      <c r="F32" s="53">
        <f>C32-E32</f>
        <v>1.1</v>
      </c>
      <c r="G32" s="66">
        <v>1.5</v>
      </c>
      <c r="H32" s="66" t="s">
        <v>66</v>
      </c>
      <c r="I32" s="66">
        <f>MAX(G$4-$B32,0)</f>
        <v>0</v>
      </c>
      <c r="J32" s="67">
        <f>G32-I32</f>
        <v>1.5</v>
      </c>
    </row>
    <row r="33" ht="12.75">
      <c r="G33" s="39"/>
    </row>
  </sheetData>
  <mergeCells count="9">
    <mergeCell ref="B2:J2"/>
    <mergeCell ref="C3:D3"/>
    <mergeCell ref="G3:H3"/>
    <mergeCell ref="C21:D21"/>
    <mergeCell ref="G21:H21"/>
    <mergeCell ref="C4:D4"/>
    <mergeCell ref="G4:H4"/>
    <mergeCell ref="C7:D7"/>
    <mergeCell ref="G7:H7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0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2" width="12.7109375" style="2" customWidth="1"/>
    <col min="3" max="3" width="3.7109375" style="2" customWidth="1"/>
    <col min="4" max="4" width="15.7109375" style="2" customWidth="1"/>
    <col min="5" max="7" width="12.7109375" style="2" customWidth="1"/>
    <col min="8" max="8" width="4.7109375" style="2" customWidth="1"/>
    <col min="9" max="16384" width="9.140625" style="2" customWidth="1"/>
  </cols>
  <sheetData>
    <row r="1" ht="5.25" customHeight="1"/>
    <row r="2" spans="1:10" ht="12.75">
      <c r="A2" s="7" t="s">
        <v>36</v>
      </c>
      <c r="D2" s="10" t="s">
        <v>13</v>
      </c>
      <c r="I2" s="82" t="s">
        <v>45</v>
      </c>
      <c r="J2" s="82"/>
    </row>
    <row r="3" spans="1:10" ht="12.75">
      <c r="A3" s="2" t="s">
        <v>12</v>
      </c>
      <c r="B3" s="3" t="s">
        <v>18</v>
      </c>
      <c r="E3" s="11" t="s">
        <v>14</v>
      </c>
      <c r="F3" s="11" t="s">
        <v>15</v>
      </c>
      <c r="G3" s="11" t="s">
        <v>16</v>
      </c>
      <c r="I3" s="12" t="s">
        <v>43</v>
      </c>
      <c r="J3" s="11" t="s">
        <v>44</v>
      </c>
    </row>
    <row r="4" spans="1:10" ht="12.75">
      <c r="A4" s="21">
        <v>136</v>
      </c>
      <c r="B4" s="21">
        <v>4</v>
      </c>
      <c r="D4" s="2" t="s">
        <v>20</v>
      </c>
      <c r="E4" s="22">
        <f>$A4+$I$4</f>
        <v>151</v>
      </c>
      <c r="F4" s="22">
        <f>$A4-$J$4</f>
        <v>121</v>
      </c>
      <c r="G4" s="22">
        <f>$A4</f>
        <v>136</v>
      </c>
      <c r="I4" s="13">
        <v>15</v>
      </c>
      <c r="J4" s="27">
        <f>I4</f>
        <v>15</v>
      </c>
    </row>
    <row r="5" spans="4:7" ht="12.75">
      <c r="D5" s="2" t="s">
        <v>24</v>
      </c>
      <c r="E5" s="22">
        <f>-$B4</f>
        <v>-4</v>
      </c>
      <c r="F5" s="22">
        <f>-$B4</f>
        <v>-4</v>
      </c>
      <c r="G5" s="22">
        <f>-$B4</f>
        <v>-4</v>
      </c>
    </row>
    <row r="6" spans="4:7" ht="12.75">
      <c r="D6" s="2" t="s">
        <v>22</v>
      </c>
      <c r="E6" s="22">
        <f>IF(E4&lt;$A4,$A4-E4,0)</f>
        <v>0</v>
      </c>
      <c r="F6" s="22">
        <f>IF(F4&lt;$A4,$A4-F4,0)</f>
        <v>15</v>
      </c>
      <c r="G6" s="22">
        <f>IF(G4&lt;$A4,$A4-G4,0)</f>
        <v>0</v>
      </c>
    </row>
    <row r="7" spans="4:7" ht="12.75">
      <c r="D7" s="49" t="s">
        <v>23</v>
      </c>
      <c r="E7" s="23">
        <f>SUM(E5:E6)</f>
        <v>-4</v>
      </c>
      <c r="F7" s="23">
        <f>SUM(F5:F6)</f>
        <v>11</v>
      </c>
      <c r="G7" s="23">
        <f>SUM(G5:G6)</f>
        <v>-4</v>
      </c>
    </row>
    <row r="8" spans="4:7" ht="12.75">
      <c r="D8" s="49" t="s">
        <v>74</v>
      </c>
      <c r="E8" s="15">
        <f>E7*500</f>
        <v>-2000</v>
      </c>
      <c r="F8" s="15">
        <f>F7*500</f>
        <v>5500</v>
      </c>
      <c r="G8" s="15">
        <f>G7*500</f>
        <v>-2000</v>
      </c>
    </row>
    <row r="9" spans="1:7" ht="12.75">
      <c r="A9" s="7" t="s">
        <v>37</v>
      </c>
      <c r="D9" s="10" t="s">
        <v>13</v>
      </c>
      <c r="E9" s="10"/>
      <c r="F9" s="10"/>
      <c r="G9" s="10"/>
    </row>
    <row r="10" spans="1:7" ht="12.75">
      <c r="A10" s="2" t="s">
        <v>12</v>
      </c>
      <c r="B10" s="6" t="s">
        <v>39</v>
      </c>
      <c r="D10" s="10"/>
      <c r="E10" s="11" t="s">
        <v>14</v>
      </c>
      <c r="F10" s="11" t="s">
        <v>15</v>
      </c>
      <c r="G10" s="11" t="s">
        <v>16</v>
      </c>
    </row>
    <row r="11" spans="1:7" ht="12.75">
      <c r="A11" s="22">
        <f>A4</f>
        <v>136</v>
      </c>
      <c r="B11" s="22">
        <f>B4</f>
        <v>4</v>
      </c>
      <c r="D11" s="2" t="s">
        <v>20</v>
      </c>
      <c r="E11" s="22">
        <f>$A11+$I$4</f>
        <v>151</v>
      </c>
      <c r="F11" s="22">
        <f>$A11-$J$4</f>
        <v>121</v>
      </c>
      <c r="G11" s="22">
        <f>$A11</f>
        <v>136</v>
      </c>
    </row>
    <row r="12" spans="4:7" ht="12.75">
      <c r="D12" s="4" t="s">
        <v>40</v>
      </c>
      <c r="E12" s="22">
        <f>$B11</f>
        <v>4</v>
      </c>
      <c r="F12" s="22">
        <f>$B11</f>
        <v>4</v>
      </c>
      <c r="G12" s="22">
        <f>$B11</f>
        <v>4</v>
      </c>
    </row>
    <row r="13" spans="4:7" ht="12.75">
      <c r="D13" s="4" t="s">
        <v>52</v>
      </c>
      <c r="E13" s="22">
        <f>IF(E11&lt;$A11,$A11-E11,0)</f>
        <v>0</v>
      </c>
      <c r="F13" s="22">
        <f>IF(F11&lt;$A11,$A11-F11,0)</f>
        <v>15</v>
      </c>
      <c r="G13" s="22">
        <f>IF(G11&lt;$A11,$A11-G11,0)</f>
        <v>0</v>
      </c>
    </row>
    <row r="14" spans="4:7" ht="12.75">
      <c r="D14" s="14" t="s">
        <v>38</v>
      </c>
      <c r="E14" s="23">
        <f>E12-E13</f>
        <v>4</v>
      </c>
      <c r="F14" s="23">
        <f>F12-F13</f>
        <v>-11</v>
      </c>
      <c r="G14" s="23">
        <f>G12-G13</f>
        <v>4</v>
      </c>
    </row>
    <row r="15" spans="4:7" ht="12.75">
      <c r="D15" s="49" t="s">
        <v>74</v>
      </c>
      <c r="E15" s="15">
        <f>E14*500</f>
        <v>2000</v>
      </c>
      <c r="F15" s="15">
        <f>F14*500</f>
        <v>-5500</v>
      </c>
      <c r="G15" s="15">
        <f>G14*500</f>
        <v>2000</v>
      </c>
    </row>
    <row r="17" spans="1:4" ht="12.75">
      <c r="A17" s="4" t="s">
        <v>41</v>
      </c>
      <c r="D17" s="10" t="s">
        <v>13</v>
      </c>
    </row>
    <row r="18" spans="1:9" ht="12.75">
      <c r="A18" s="2" t="s">
        <v>12</v>
      </c>
      <c r="B18" s="3" t="s">
        <v>18</v>
      </c>
      <c r="E18" s="11" t="s">
        <v>14</v>
      </c>
      <c r="F18" s="11" t="s">
        <v>15</v>
      </c>
      <c r="G18" s="11" t="s">
        <v>16</v>
      </c>
      <c r="I18" s="11"/>
    </row>
    <row r="19" spans="1:7" ht="12.75">
      <c r="A19" s="21">
        <v>136</v>
      </c>
      <c r="B19" s="21">
        <v>4.3</v>
      </c>
      <c r="D19" s="2" t="s">
        <v>20</v>
      </c>
      <c r="E19" s="22">
        <f>$A19+$I$4</f>
        <v>151</v>
      </c>
      <c r="F19" s="22">
        <f>$A19-$J$4</f>
        <v>121</v>
      </c>
      <c r="G19" s="22">
        <f>$A19</f>
        <v>136</v>
      </c>
    </row>
    <row r="20" spans="4:7" ht="12.75">
      <c r="D20" s="2" t="s">
        <v>24</v>
      </c>
      <c r="E20" s="22">
        <f>-$B19</f>
        <v>-4.3</v>
      </c>
      <c r="F20" s="22">
        <f>-$B19</f>
        <v>-4.3</v>
      </c>
      <c r="G20" s="22">
        <f>-$B19</f>
        <v>-4.3</v>
      </c>
    </row>
    <row r="21" spans="4:7" ht="12.75">
      <c r="D21" s="2" t="s">
        <v>22</v>
      </c>
      <c r="E21" s="22">
        <f>IF(E19&gt;$A19,E19-$A19,0)</f>
        <v>15</v>
      </c>
      <c r="F21" s="22">
        <f>IF(F19&gt;$A19,F19-$A19,0)</f>
        <v>0</v>
      </c>
      <c r="G21" s="22">
        <f>IF(G19&gt;$A19,G19-$A19,0)</f>
        <v>0</v>
      </c>
    </row>
    <row r="22" spans="4:7" ht="12.75">
      <c r="D22" s="14" t="s">
        <v>38</v>
      </c>
      <c r="E22" s="23">
        <f>SUM(E20:E21)</f>
        <v>10.7</v>
      </c>
      <c r="F22" s="23">
        <f>SUM(F20:F21)</f>
        <v>-4.3</v>
      </c>
      <c r="G22" s="23">
        <f>SUM(G20:G21)</f>
        <v>-4.3</v>
      </c>
    </row>
    <row r="23" spans="4:7" ht="12.75">
      <c r="D23" s="49" t="s">
        <v>74</v>
      </c>
      <c r="E23" s="15">
        <f>E22*500</f>
        <v>5350</v>
      </c>
      <c r="F23" s="15">
        <f>F22*500</f>
        <v>-2150</v>
      </c>
      <c r="G23" s="15">
        <f>G22*500</f>
        <v>-2150</v>
      </c>
    </row>
    <row r="24" spans="1:7" ht="12.75">
      <c r="A24" s="4" t="s">
        <v>42</v>
      </c>
      <c r="D24" s="10" t="s">
        <v>13</v>
      </c>
      <c r="E24" s="10"/>
      <c r="F24" s="10"/>
      <c r="G24" s="10"/>
    </row>
    <row r="25" spans="1:7" ht="12.75">
      <c r="A25" s="2" t="s">
        <v>12</v>
      </c>
      <c r="B25" s="6" t="s">
        <v>39</v>
      </c>
      <c r="D25" s="10"/>
      <c r="E25" s="11" t="s">
        <v>14</v>
      </c>
      <c r="F25" s="11" t="s">
        <v>15</v>
      </c>
      <c r="G25" s="11" t="s">
        <v>16</v>
      </c>
    </row>
    <row r="26" spans="1:7" ht="12.75">
      <c r="A26" s="22">
        <f>A19</f>
        <v>136</v>
      </c>
      <c r="B26" s="22">
        <f>B19</f>
        <v>4.3</v>
      </c>
      <c r="D26" s="2" t="s">
        <v>20</v>
      </c>
      <c r="E26" s="22">
        <f>$A26+$I$4</f>
        <v>151</v>
      </c>
      <c r="F26" s="22">
        <f>$A26-$J$4</f>
        <v>121</v>
      </c>
      <c r="G26" s="22">
        <f>$A26</f>
        <v>136</v>
      </c>
    </row>
    <row r="27" spans="4:7" ht="12.75">
      <c r="D27" s="4" t="s">
        <v>40</v>
      </c>
      <c r="E27" s="22">
        <f>$B26</f>
        <v>4.3</v>
      </c>
      <c r="F27" s="22">
        <f>$B26</f>
        <v>4.3</v>
      </c>
      <c r="G27" s="22">
        <f>$B26</f>
        <v>4.3</v>
      </c>
    </row>
    <row r="28" spans="4:7" ht="12.75">
      <c r="D28" s="4" t="s">
        <v>52</v>
      </c>
      <c r="E28" s="22">
        <f>IF(E26&gt;$A26,E26-$A26,0)</f>
        <v>15</v>
      </c>
      <c r="F28" s="22">
        <f>IF(F26&gt;$A26,F26-$A26,0)</f>
        <v>0</v>
      </c>
      <c r="G28" s="22">
        <f>IF(G26&gt;$A26,G26-$A26,0)</f>
        <v>0</v>
      </c>
    </row>
    <row r="29" spans="4:7" ht="12.75">
      <c r="D29" s="14" t="s">
        <v>38</v>
      </c>
      <c r="E29" s="23">
        <f>E27-E28</f>
        <v>-10.7</v>
      </c>
      <c r="F29" s="23">
        <f>F27-F28</f>
        <v>4.3</v>
      </c>
      <c r="G29" s="23">
        <f>G27-G28</f>
        <v>4.3</v>
      </c>
    </row>
    <row r="30" spans="4:7" ht="12.75">
      <c r="D30" s="49" t="s">
        <v>74</v>
      </c>
      <c r="E30" s="15">
        <f>E29*500</f>
        <v>-5350</v>
      </c>
      <c r="F30" s="15">
        <f>F29*500</f>
        <v>2150</v>
      </c>
      <c r="G30" s="15">
        <f>G29*500</f>
        <v>2150</v>
      </c>
    </row>
  </sheetData>
  <mergeCells count="1">
    <mergeCell ref="I2:J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4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2" width="9.140625" style="17" customWidth="1"/>
    <col min="3" max="3" width="4.57421875" style="17" customWidth="1"/>
    <col min="4" max="4" width="9.00390625" style="17" bestFit="1" customWidth="1"/>
    <col min="5" max="8" width="9.140625" style="17" customWidth="1"/>
    <col min="9" max="9" width="4.57421875" style="17" customWidth="1"/>
    <col min="10" max="16384" width="9.140625" style="17" customWidth="1"/>
  </cols>
  <sheetData>
    <row r="2" spans="3:11" ht="12.75">
      <c r="C2" s="18"/>
      <c r="D2" s="11"/>
      <c r="E2" s="11" t="s">
        <v>54</v>
      </c>
      <c r="F2" s="11" t="s">
        <v>55</v>
      </c>
      <c r="G2" s="11" t="s">
        <v>56</v>
      </c>
      <c r="H2" s="11" t="s">
        <v>57</v>
      </c>
      <c r="J2" s="29" t="s">
        <v>58</v>
      </c>
      <c r="K2" s="29" t="s">
        <v>58</v>
      </c>
    </row>
    <row r="3" spans="1:11" ht="12.75">
      <c r="A3" s="18" t="s">
        <v>6</v>
      </c>
      <c r="B3" s="28" t="s">
        <v>77</v>
      </c>
      <c r="D3" s="18" t="s">
        <v>4</v>
      </c>
      <c r="E3" s="19">
        <f>$B$4</f>
        <v>136</v>
      </c>
      <c r="F3" s="19">
        <f>$B$4</f>
        <v>136</v>
      </c>
      <c r="G3" s="19">
        <f>$B$4</f>
        <v>136</v>
      </c>
      <c r="H3" s="19">
        <f>$B$4</f>
        <v>136</v>
      </c>
      <c r="J3" s="29" t="s">
        <v>61</v>
      </c>
      <c r="K3" s="29" t="s">
        <v>60</v>
      </c>
    </row>
    <row r="4" spans="1:11" ht="12.75">
      <c r="A4" s="18" t="s">
        <v>4</v>
      </c>
      <c r="B4" s="8">
        <v>136</v>
      </c>
      <c r="D4" s="18" t="s">
        <v>5</v>
      </c>
      <c r="E4" s="8">
        <v>4</v>
      </c>
      <c r="F4" s="9">
        <f>E4</f>
        <v>4</v>
      </c>
      <c r="G4" s="8">
        <v>4.3</v>
      </c>
      <c r="H4" s="9">
        <f>G4</f>
        <v>4.3</v>
      </c>
      <c r="J4" s="30" t="s">
        <v>59</v>
      </c>
      <c r="K4" s="30" t="s">
        <v>59</v>
      </c>
    </row>
    <row r="5" spans="4:8" ht="12.75">
      <c r="D5" s="18"/>
      <c r="H5" s="9"/>
    </row>
    <row r="6" spans="2:11" ht="12.75">
      <c r="B6" s="19">
        <f aca="true" t="shared" si="0" ref="B6:B13">B7-$B$24</f>
        <v>120</v>
      </c>
      <c r="C6" s="19"/>
      <c r="D6" s="19"/>
      <c r="E6" s="19">
        <f>MAX((E$3-$B6),0)-E$4</f>
        <v>12</v>
      </c>
      <c r="F6" s="19">
        <f>-1*MAX((F$3-$B6),0)+F$4</f>
        <v>-12</v>
      </c>
      <c r="G6" s="19">
        <f>-1*MIN((G$3-$B6),0)-G$4</f>
        <v>-4.3</v>
      </c>
      <c r="H6" s="19">
        <f>MIN((H$3-$B6),0)+H$4</f>
        <v>4.3</v>
      </c>
      <c r="J6" s="19">
        <f>$B6-$B$4</f>
        <v>-16</v>
      </c>
      <c r="K6" s="19">
        <f>$B$4-$B6</f>
        <v>16</v>
      </c>
    </row>
    <row r="7" spans="2:11" ht="12.75">
      <c r="B7" s="19">
        <f t="shared" si="0"/>
        <v>122</v>
      </c>
      <c r="C7" s="19"/>
      <c r="D7" s="19"/>
      <c r="E7" s="19">
        <f aca="true" t="shared" si="1" ref="E7:E22">MAX((E$3-$B7),0)-E$4</f>
        <v>10</v>
      </c>
      <c r="F7" s="19">
        <f aca="true" t="shared" si="2" ref="F7:F22">-1*MAX((F$3-$B7),0)+F$4</f>
        <v>-10</v>
      </c>
      <c r="G7" s="19">
        <f aca="true" t="shared" si="3" ref="G7:G22">-1*MIN((G$3-$B7),0)-G$4</f>
        <v>-4.3</v>
      </c>
      <c r="H7" s="19">
        <f aca="true" t="shared" si="4" ref="H7:H22">MIN((H$3-$B7),0)+H$4</f>
        <v>4.3</v>
      </c>
      <c r="J7" s="19">
        <f aca="true" t="shared" si="5" ref="J7:J22">$B7-$B$4</f>
        <v>-14</v>
      </c>
      <c r="K7" s="19">
        <f aca="true" t="shared" si="6" ref="K7:K22">$B$4-$B7</f>
        <v>14</v>
      </c>
    </row>
    <row r="8" spans="2:11" ht="12.75">
      <c r="B8" s="19">
        <f t="shared" si="0"/>
        <v>124</v>
      </c>
      <c r="C8" s="19"/>
      <c r="D8" s="19"/>
      <c r="E8" s="19">
        <f t="shared" si="1"/>
        <v>8</v>
      </c>
      <c r="F8" s="19">
        <f t="shared" si="2"/>
        <v>-8</v>
      </c>
      <c r="G8" s="19">
        <f t="shared" si="3"/>
        <v>-4.3</v>
      </c>
      <c r="H8" s="19">
        <f t="shared" si="4"/>
        <v>4.3</v>
      </c>
      <c r="J8" s="19">
        <f t="shared" si="5"/>
        <v>-12</v>
      </c>
      <c r="K8" s="19">
        <f t="shared" si="6"/>
        <v>12</v>
      </c>
    </row>
    <row r="9" spans="2:11" ht="12.75">
      <c r="B9" s="19">
        <f t="shared" si="0"/>
        <v>126</v>
      </c>
      <c r="C9" s="19"/>
      <c r="D9" s="19"/>
      <c r="E9" s="19">
        <f t="shared" si="1"/>
        <v>6</v>
      </c>
      <c r="F9" s="19">
        <f t="shared" si="2"/>
        <v>-6</v>
      </c>
      <c r="G9" s="19">
        <f t="shared" si="3"/>
        <v>-4.3</v>
      </c>
      <c r="H9" s="19">
        <f t="shared" si="4"/>
        <v>4.3</v>
      </c>
      <c r="J9" s="19">
        <f t="shared" si="5"/>
        <v>-10</v>
      </c>
      <c r="K9" s="19">
        <f t="shared" si="6"/>
        <v>10</v>
      </c>
    </row>
    <row r="10" spans="2:11" ht="12.75">
      <c r="B10" s="19">
        <f t="shared" si="0"/>
        <v>128</v>
      </c>
      <c r="C10" s="19"/>
      <c r="D10" s="19"/>
      <c r="E10" s="19">
        <f t="shared" si="1"/>
        <v>4</v>
      </c>
      <c r="F10" s="19">
        <f t="shared" si="2"/>
        <v>-4</v>
      </c>
      <c r="G10" s="19">
        <f t="shared" si="3"/>
        <v>-4.3</v>
      </c>
      <c r="H10" s="19">
        <f t="shared" si="4"/>
        <v>4.3</v>
      </c>
      <c r="J10" s="19">
        <f t="shared" si="5"/>
        <v>-8</v>
      </c>
      <c r="K10" s="19">
        <f t="shared" si="6"/>
        <v>8</v>
      </c>
    </row>
    <row r="11" spans="2:11" ht="12.75">
      <c r="B11" s="19">
        <f t="shared" si="0"/>
        <v>130</v>
      </c>
      <c r="C11" s="19"/>
      <c r="D11" s="19"/>
      <c r="E11" s="19">
        <f t="shared" si="1"/>
        <v>2</v>
      </c>
      <c r="F11" s="19">
        <f t="shared" si="2"/>
        <v>-2</v>
      </c>
      <c r="G11" s="19">
        <f t="shared" si="3"/>
        <v>-4.3</v>
      </c>
      <c r="H11" s="19">
        <f t="shared" si="4"/>
        <v>4.3</v>
      </c>
      <c r="J11" s="19">
        <f t="shared" si="5"/>
        <v>-6</v>
      </c>
      <c r="K11" s="19">
        <f t="shared" si="6"/>
        <v>6</v>
      </c>
    </row>
    <row r="12" spans="2:11" ht="12.75">
      <c r="B12" s="19">
        <f t="shared" si="0"/>
        <v>132</v>
      </c>
      <c r="C12" s="19"/>
      <c r="D12" s="19"/>
      <c r="E12" s="19">
        <f t="shared" si="1"/>
        <v>0</v>
      </c>
      <c r="F12" s="19">
        <f t="shared" si="2"/>
        <v>0</v>
      </c>
      <c r="G12" s="19">
        <f t="shared" si="3"/>
        <v>-4.3</v>
      </c>
      <c r="H12" s="19">
        <f t="shared" si="4"/>
        <v>4.3</v>
      </c>
      <c r="J12" s="19">
        <f t="shared" si="5"/>
        <v>-4</v>
      </c>
      <c r="K12" s="19">
        <f t="shared" si="6"/>
        <v>4</v>
      </c>
    </row>
    <row r="13" spans="2:11" ht="12.75">
      <c r="B13" s="19">
        <f t="shared" si="0"/>
        <v>134</v>
      </c>
      <c r="C13" s="19"/>
      <c r="D13" s="19"/>
      <c r="E13" s="19">
        <f t="shared" si="1"/>
        <v>-2</v>
      </c>
      <c r="F13" s="19">
        <f t="shared" si="2"/>
        <v>2</v>
      </c>
      <c r="G13" s="19">
        <f t="shared" si="3"/>
        <v>-4.3</v>
      </c>
      <c r="H13" s="19">
        <f t="shared" si="4"/>
        <v>4.3</v>
      </c>
      <c r="J13" s="19">
        <f t="shared" si="5"/>
        <v>-2</v>
      </c>
      <c r="K13" s="19">
        <f t="shared" si="6"/>
        <v>2</v>
      </c>
    </row>
    <row r="14" spans="2:11" ht="12.75">
      <c r="B14" s="19">
        <f>B4</f>
        <v>136</v>
      </c>
      <c r="C14" s="19"/>
      <c r="D14" s="19"/>
      <c r="E14" s="19">
        <f t="shared" si="1"/>
        <v>-4</v>
      </c>
      <c r="F14" s="19">
        <f t="shared" si="2"/>
        <v>4</v>
      </c>
      <c r="G14" s="19">
        <f t="shared" si="3"/>
        <v>-4.3</v>
      </c>
      <c r="H14" s="19">
        <f t="shared" si="4"/>
        <v>4.3</v>
      </c>
      <c r="J14" s="19">
        <f t="shared" si="5"/>
        <v>0</v>
      </c>
      <c r="K14" s="19">
        <f t="shared" si="6"/>
        <v>0</v>
      </c>
    </row>
    <row r="15" spans="2:11" ht="12.75">
      <c r="B15" s="19">
        <f aca="true" t="shared" si="7" ref="B15:B22">B14+$B$24</f>
        <v>138</v>
      </c>
      <c r="C15" s="19"/>
      <c r="D15" s="19"/>
      <c r="E15" s="19">
        <f t="shared" si="1"/>
        <v>-4</v>
      </c>
      <c r="F15" s="19">
        <f t="shared" si="2"/>
        <v>4</v>
      </c>
      <c r="G15" s="19">
        <f t="shared" si="3"/>
        <v>-2.3</v>
      </c>
      <c r="H15" s="19">
        <f t="shared" si="4"/>
        <v>2.3</v>
      </c>
      <c r="J15" s="19">
        <f t="shared" si="5"/>
        <v>2</v>
      </c>
      <c r="K15" s="19">
        <f t="shared" si="6"/>
        <v>-2</v>
      </c>
    </row>
    <row r="16" spans="2:11" ht="12.75">
      <c r="B16" s="19">
        <f t="shared" si="7"/>
        <v>140</v>
      </c>
      <c r="C16" s="19"/>
      <c r="D16" s="19"/>
      <c r="E16" s="19">
        <f t="shared" si="1"/>
        <v>-4</v>
      </c>
      <c r="F16" s="19">
        <f t="shared" si="2"/>
        <v>4</v>
      </c>
      <c r="G16" s="19">
        <f t="shared" si="3"/>
        <v>-0.2999999999999998</v>
      </c>
      <c r="H16" s="19">
        <f t="shared" si="4"/>
        <v>0.2999999999999998</v>
      </c>
      <c r="J16" s="19">
        <f t="shared" si="5"/>
        <v>4</v>
      </c>
      <c r="K16" s="19">
        <f t="shared" si="6"/>
        <v>-4</v>
      </c>
    </row>
    <row r="17" spans="2:11" ht="12.75">
      <c r="B17" s="19">
        <f t="shared" si="7"/>
        <v>142</v>
      </c>
      <c r="C17" s="19"/>
      <c r="D17" s="19"/>
      <c r="E17" s="19">
        <f t="shared" si="1"/>
        <v>-4</v>
      </c>
      <c r="F17" s="19">
        <f t="shared" si="2"/>
        <v>4</v>
      </c>
      <c r="G17" s="19">
        <f t="shared" si="3"/>
        <v>1.7000000000000002</v>
      </c>
      <c r="H17" s="19">
        <f t="shared" si="4"/>
        <v>-1.7000000000000002</v>
      </c>
      <c r="J17" s="19">
        <f t="shared" si="5"/>
        <v>6</v>
      </c>
      <c r="K17" s="19">
        <f t="shared" si="6"/>
        <v>-6</v>
      </c>
    </row>
    <row r="18" spans="2:11" ht="12.75">
      <c r="B18" s="19">
        <f t="shared" si="7"/>
        <v>144</v>
      </c>
      <c r="C18" s="19"/>
      <c r="D18" s="19"/>
      <c r="E18" s="19">
        <f t="shared" si="1"/>
        <v>-4</v>
      </c>
      <c r="F18" s="19">
        <f t="shared" si="2"/>
        <v>4</v>
      </c>
      <c r="G18" s="19">
        <f t="shared" si="3"/>
        <v>3.7</v>
      </c>
      <c r="H18" s="19">
        <f t="shared" si="4"/>
        <v>-3.7</v>
      </c>
      <c r="J18" s="19">
        <f t="shared" si="5"/>
        <v>8</v>
      </c>
      <c r="K18" s="19">
        <f t="shared" si="6"/>
        <v>-8</v>
      </c>
    </row>
    <row r="19" spans="2:11" ht="12.75">
      <c r="B19" s="19">
        <f t="shared" si="7"/>
        <v>146</v>
      </c>
      <c r="C19" s="19"/>
      <c r="D19" s="19"/>
      <c r="E19" s="19">
        <f t="shared" si="1"/>
        <v>-4</v>
      </c>
      <c r="F19" s="19">
        <f t="shared" si="2"/>
        <v>4</v>
      </c>
      <c r="G19" s="19">
        <f t="shared" si="3"/>
        <v>5.7</v>
      </c>
      <c r="H19" s="19">
        <f t="shared" si="4"/>
        <v>-5.7</v>
      </c>
      <c r="J19" s="19">
        <f t="shared" si="5"/>
        <v>10</v>
      </c>
      <c r="K19" s="19">
        <f t="shared" si="6"/>
        <v>-10</v>
      </c>
    </row>
    <row r="20" spans="2:11" ht="12.75">
      <c r="B20" s="19">
        <f t="shared" si="7"/>
        <v>148</v>
      </c>
      <c r="C20" s="19"/>
      <c r="D20" s="19"/>
      <c r="E20" s="19">
        <f t="shared" si="1"/>
        <v>-4</v>
      </c>
      <c r="F20" s="19">
        <f t="shared" si="2"/>
        <v>4</v>
      </c>
      <c r="G20" s="19">
        <f t="shared" si="3"/>
        <v>7.7</v>
      </c>
      <c r="H20" s="19">
        <f t="shared" si="4"/>
        <v>-7.7</v>
      </c>
      <c r="J20" s="19">
        <f t="shared" si="5"/>
        <v>12</v>
      </c>
      <c r="K20" s="19">
        <f t="shared" si="6"/>
        <v>-12</v>
      </c>
    </row>
    <row r="21" spans="2:11" ht="12.75">
      <c r="B21" s="19">
        <f t="shared" si="7"/>
        <v>150</v>
      </c>
      <c r="C21" s="19"/>
      <c r="D21" s="19"/>
      <c r="E21" s="19">
        <f t="shared" si="1"/>
        <v>-4</v>
      </c>
      <c r="F21" s="19">
        <f t="shared" si="2"/>
        <v>4</v>
      </c>
      <c r="G21" s="19">
        <f t="shared" si="3"/>
        <v>9.7</v>
      </c>
      <c r="H21" s="19">
        <f t="shared" si="4"/>
        <v>-9.7</v>
      </c>
      <c r="J21" s="19">
        <f t="shared" si="5"/>
        <v>14</v>
      </c>
      <c r="K21" s="19">
        <f t="shared" si="6"/>
        <v>-14</v>
      </c>
    </row>
    <row r="22" spans="2:11" ht="12.75">
      <c r="B22" s="19">
        <f t="shared" si="7"/>
        <v>152</v>
      </c>
      <c r="C22" s="19"/>
      <c r="D22" s="19"/>
      <c r="E22" s="19">
        <f t="shared" si="1"/>
        <v>-4</v>
      </c>
      <c r="F22" s="19">
        <f t="shared" si="2"/>
        <v>4</v>
      </c>
      <c r="G22" s="19">
        <f t="shared" si="3"/>
        <v>11.7</v>
      </c>
      <c r="H22" s="19">
        <f t="shared" si="4"/>
        <v>-11.7</v>
      </c>
      <c r="J22" s="19">
        <f t="shared" si="5"/>
        <v>16</v>
      </c>
      <c r="K22" s="19">
        <f t="shared" si="6"/>
        <v>-16</v>
      </c>
    </row>
    <row r="24" spans="1:2" ht="12.75">
      <c r="A24" s="20" t="s">
        <v>46</v>
      </c>
      <c r="B24" s="1">
        <v>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4" width="12.7109375" style="2" customWidth="1"/>
    <col min="5" max="5" width="3.7109375" style="2" customWidth="1"/>
    <col min="6" max="6" width="15.8515625" style="2" customWidth="1"/>
    <col min="7" max="9" width="12.7109375" style="2" customWidth="1"/>
    <col min="10" max="10" width="4.7109375" style="2" customWidth="1"/>
    <col min="11" max="16384" width="9.140625" style="2" customWidth="1"/>
  </cols>
  <sheetData>
    <row r="1" ht="12.75">
      <c r="A1" s="2" t="s">
        <v>75</v>
      </c>
    </row>
    <row r="2" spans="1:12" ht="12.75">
      <c r="A2" s="4" t="s">
        <v>25</v>
      </c>
      <c r="F2" s="10" t="s">
        <v>13</v>
      </c>
      <c r="K2" s="82" t="s">
        <v>45</v>
      </c>
      <c r="L2" s="82"/>
    </row>
    <row r="3" spans="1:12" ht="12.75">
      <c r="A3" s="2" t="s">
        <v>12</v>
      </c>
      <c r="B3" s="2" t="s">
        <v>17</v>
      </c>
      <c r="C3" s="3" t="s">
        <v>18</v>
      </c>
      <c r="D3" s="2" t="s">
        <v>19</v>
      </c>
      <c r="G3" s="11" t="s">
        <v>14</v>
      </c>
      <c r="H3" s="11" t="s">
        <v>15</v>
      </c>
      <c r="I3" s="11" t="s">
        <v>16</v>
      </c>
      <c r="K3" s="12" t="s">
        <v>43</v>
      </c>
      <c r="L3" s="11" t="s">
        <v>44</v>
      </c>
    </row>
    <row r="4" spans="1:12" ht="12.75">
      <c r="A4" s="21">
        <v>134</v>
      </c>
      <c r="B4" s="21">
        <v>-0.5</v>
      </c>
      <c r="C4" s="21">
        <v>3.1</v>
      </c>
      <c r="D4" s="22">
        <f>A4+B4-C4</f>
        <v>130.4</v>
      </c>
      <c r="F4" s="2" t="s">
        <v>20</v>
      </c>
      <c r="G4" s="22">
        <f>AVERAGE($A$4,$A$13,$A$22)+$K$4</f>
        <v>147</v>
      </c>
      <c r="H4" s="22">
        <f>AVERAGE($A$4,$A$13,$A$22)-$L$4</f>
        <v>117</v>
      </c>
      <c r="I4" s="22">
        <f>AVERAGE($A4,$A13,$A22)</f>
        <v>132</v>
      </c>
      <c r="K4" s="13">
        <v>15</v>
      </c>
      <c r="L4" s="27">
        <f>K4</f>
        <v>15</v>
      </c>
    </row>
    <row r="5" spans="6:9" ht="12.75">
      <c r="F5" s="2" t="s">
        <v>3</v>
      </c>
      <c r="G5" s="22">
        <f>$B4</f>
        <v>-0.5</v>
      </c>
      <c r="H5" s="22">
        <f>$B4</f>
        <v>-0.5</v>
      </c>
      <c r="I5" s="22">
        <f>$B4</f>
        <v>-0.5</v>
      </c>
    </row>
    <row r="6" spans="6:9" ht="12.75">
      <c r="F6" s="15" t="s">
        <v>21</v>
      </c>
      <c r="G6" s="23">
        <f>G4+G5</f>
        <v>146.5</v>
      </c>
      <c r="H6" s="23">
        <f>H4+H5</f>
        <v>116.5</v>
      </c>
      <c r="I6" s="23">
        <f>I4+I5</f>
        <v>131.5</v>
      </c>
    </row>
    <row r="7" spans="6:9" ht="12.75">
      <c r="F7" s="2" t="s">
        <v>24</v>
      </c>
      <c r="G7" s="22">
        <f>$C4</f>
        <v>3.1</v>
      </c>
      <c r="H7" s="22">
        <f>$C4</f>
        <v>3.1</v>
      </c>
      <c r="I7" s="22">
        <f>$C4</f>
        <v>3.1</v>
      </c>
    </row>
    <row r="8" spans="6:9" ht="12.75">
      <c r="F8" s="2" t="s">
        <v>22</v>
      </c>
      <c r="G8" s="22">
        <f>IF(G4&lt;$A4,$A4-G4,0)</f>
        <v>0</v>
      </c>
      <c r="H8" s="22">
        <f>IF(H4&lt;$A4,$A4-H4,0)</f>
        <v>17</v>
      </c>
      <c r="I8" s="22">
        <f>IF(I4&lt;$A4,$A4-I4,0)</f>
        <v>2</v>
      </c>
    </row>
    <row r="9" spans="6:9" ht="12.75">
      <c r="F9" s="15" t="s">
        <v>23</v>
      </c>
      <c r="G9" s="23">
        <f>G6-G7+G8</f>
        <v>143.4</v>
      </c>
      <c r="H9" s="23">
        <f>H6-H7+H8</f>
        <v>130.4</v>
      </c>
      <c r="I9" s="23">
        <f>I6-I7+I8</f>
        <v>130.4</v>
      </c>
    </row>
    <row r="11" spans="1:9" ht="12.75">
      <c r="A11" s="4" t="s">
        <v>25</v>
      </c>
      <c r="F11" s="10" t="s">
        <v>13</v>
      </c>
      <c r="G11" s="10"/>
      <c r="H11" s="10"/>
      <c r="I11" s="10"/>
    </row>
    <row r="12" spans="1:9" ht="12.75">
      <c r="A12" s="2" t="s">
        <v>12</v>
      </c>
      <c r="B12" s="2" t="s">
        <v>17</v>
      </c>
      <c r="C12" s="3" t="s">
        <v>18</v>
      </c>
      <c r="D12" s="2" t="s">
        <v>19</v>
      </c>
      <c r="F12" s="10"/>
      <c r="G12" s="11" t="s">
        <v>14</v>
      </c>
      <c r="H12" s="11" t="s">
        <v>15</v>
      </c>
      <c r="I12" s="11" t="s">
        <v>16</v>
      </c>
    </row>
    <row r="13" spans="1:9" ht="12.75">
      <c r="A13" s="21">
        <v>132</v>
      </c>
      <c r="B13" s="21">
        <v>-0.5</v>
      </c>
      <c r="C13" s="21">
        <v>2.42</v>
      </c>
      <c r="D13" s="22">
        <f>A13+B13-C13</f>
        <v>129.08</v>
      </c>
      <c r="F13" s="2" t="s">
        <v>20</v>
      </c>
      <c r="G13" s="22">
        <f>AVERAGE($A$4,$A$13,$A$22)+$K$4</f>
        <v>147</v>
      </c>
      <c r="H13" s="22">
        <f>AVERAGE($A$4,$A$13,$A$22)-$L$4</f>
        <v>117</v>
      </c>
      <c r="I13" s="22">
        <f>AVERAGE($A4,$A13,$A22)</f>
        <v>132</v>
      </c>
    </row>
    <row r="14" spans="6:9" ht="12.75">
      <c r="F14" s="2" t="s">
        <v>3</v>
      </c>
      <c r="G14" s="22">
        <f>$B13</f>
        <v>-0.5</v>
      </c>
      <c r="H14" s="22">
        <f>$B13</f>
        <v>-0.5</v>
      </c>
      <c r="I14" s="22">
        <f>$B13</f>
        <v>-0.5</v>
      </c>
    </row>
    <row r="15" spans="6:9" ht="12.75">
      <c r="F15" s="15" t="s">
        <v>21</v>
      </c>
      <c r="G15" s="23">
        <f>G13+G14</f>
        <v>146.5</v>
      </c>
      <c r="H15" s="23">
        <f>H13+H14</f>
        <v>116.5</v>
      </c>
      <c r="I15" s="23">
        <f>I13+I14</f>
        <v>131.5</v>
      </c>
    </row>
    <row r="16" spans="6:9" ht="12.75">
      <c r="F16" s="2" t="s">
        <v>24</v>
      </c>
      <c r="G16" s="22">
        <f>$C13</f>
        <v>2.42</v>
      </c>
      <c r="H16" s="22">
        <f>$C13</f>
        <v>2.42</v>
      </c>
      <c r="I16" s="22">
        <f>$C13</f>
        <v>2.42</v>
      </c>
    </row>
    <row r="17" spans="6:9" ht="12.75">
      <c r="F17" s="2" t="s">
        <v>22</v>
      </c>
      <c r="G17" s="22">
        <f>IF(G13&lt;$A13,$A13-G13,0)</f>
        <v>0</v>
      </c>
      <c r="H17" s="22">
        <f>IF(H13&lt;$A13,$A13-H13,0)</f>
        <v>15</v>
      </c>
      <c r="I17" s="22">
        <f>IF(I13&lt;$A13,$A13-I13,0)</f>
        <v>0</v>
      </c>
    </row>
    <row r="18" spans="6:9" ht="12.75">
      <c r="F18" s="15" t="s">
        <v>23</v>
      </c>
      <c r="G18" s="23">
        <f>G15-G16+G17</f>
        <v>144.08</v>
      </c>
      <c r="H18" s="23">
        <f>H15-H16+H17</f>
        <v>129.07999999999998</v>
      </c>
      <c r="I18" s="23">
        <f>I15-I16+I17</f>
        <v>129.08</v>
      </c>
    </row>
    <row r="20" spans="1:9" ht="12.75">
      <c r="A20" s="4" t="s">
        <v>25</v>
      </c>
      <c r="F20" s="10" t="s">
        <v>13</v>
      </c>
      <c r="G20" s="10"/>
      <c r="H20" s="10"/>
      <c r="I20" s="10"/>
    </row>
    <row r="21" spans="1:9" ht="12.75">
      <c r="A21" s="2" t="s">
        <v>12</v>
      </c>
      <c r="B21" s="2" t="s">
        <v>17</v>
      </c>
      <c r="C21" s="3" t="s">
        <v>18</v>
      </c>
      <c r="D21" s="2" t="s">
        <v>19</v>
      </c>
      <c r="F21" s="10"/>
      <c r="G21" s="11" t="s">
        <v>14</v>
      </c>
      <c r="H21" s="11" t="s">
        <v>15</v>
      </c>
      <c r="I21" s="11" t="s">
        <v>16</v>
      </c>
    </row>
    <row r="22" spans="1:9" ht="12.75">
      <c r="A22" s="21">
        <v>130</v>
      </c>
      <c r="B22" s="21">
        <v>-0.5</v>
      </c>
      <c r="C22" s="21">
        <v>1.85</v>
      </c>
      <c r="D22" s="22">
        <f>A22+B22-C22</f>
        <v>127.65</v>
      </c>
      <c r="F22" s="2" t="s">
        <v>20</v>
      </c>
      <c r="G22" s="22">
        <f>AVERAGE($A$4,$A$13,$A$22)+$K$4</f>
        <v>147</v>
      </c>
      <c r="H22" s="22">
        <f>AVERAGE($A$4,$A$13,$A$22)-$L$4</f>
        <v>117</v>
      </c>
      <c r="I22" s="22">
        <f>AVERAGE($A4,$A13,$A22)</f>
        <v>132</v>
      </c>
    </row>
    <row r="23" spans="6:9" ht="12.75">
      <c r="F23" s="2" t="s">
        <v>3</v>
      </c>
      <c r="G23" s="22">
        <f>$B22</f>
        <v>-0.5</v>
      </c>
      <c r="H23" s="22">
        <f>$B22</f>
        <v>-0.5</v>
      </c>
      <c r="I23" s="22">
        <f>$B22</f>
        <v>-0.5</v>
      </c>
    </row>
    <row r="24" spans="6:9" ht="12.75">
      <c r="F24" s="15" t="s">
        <v>21</v>
      </c>
      <c r="G24" s="23">
        <f>G22+G23</f>
        <v>146.5</v>
      </c>
      <c r="H24" s="23">
        <f>H22+H23</f>
        <v>116.5</v>
      </c>
      <c r="I24" s="23">
        <f>I22+I23</f>
        <v>131.5</v>
      </c>
    </row>
    <row r="25" spans="6:9" ht="12.75">
      <c r="F25" s="2" t="s">
        <v>24</v>
      </c>
      <c r="G25" s="22">
        <f>$C22</f>
        <v>1.85</v>
      </c>
      <c r="H25" s="22">
        <f>$C22</f>
        <v>1.85</v>
      </c>
      <c r="I25" s="22">
        <f>$C22</f>
        <v>1.85</v>
      </c>
    </row>
    <row r="26" spans="6:9" ht="12.75">
      <c r="F26" s="2" t="s">
        <v>22</v>
      </c>
      <c r="G26" s="22">
        <f>IF(G22&lt;$A22,$A22-G22,0)</f>
        <v>0</v>
      </c>
      <c r="H26" s="22">
        <f>IF(H22&lt;$A22,$A22-H22,0)</f>
        <v>13</v>
      </c>
      <c r="I26" s="22">
        <f>IF(I22&lt;$A22,$A22-I22,0)</f>
        <v>0</v>
      </c>
    </row>
    <row r="27" spans="6:9" ht="12.75">
      <c r="F27" s="15" t="s">
        <v>23</v>
      </c>
      <c r="G27" s="23">
        <f>G24-G25+G26</f>
        <v>144.65</v>
      </c>
      <c r="H27" s="23">
        <f>H24-H25+H26</f>
        <v>127.65</v>
      </c>
      <c r="I27" s="23">
        <f>I24-I25+I26</f>
        <v>129.65</v>
      </c>
    </row>
    <row r="29" ht="12.75">
      <c r="B29" s="16"/>
    </row>
  </sheetData>
  <mergeCells count="1">
    <mergeCell ref="K2:L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2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2" customWidth="1"/>
    <col min="3" max="4" width="11.7109375" style="2" customWidth="1"/>
    <col min="5" max="5" width="12.7109375" style="2" customWidth="1"/>
    <col min="6" max="6" width="3.7109375" style="2" customWidth="1"/>
    <col min="7" max="7" width="15.7109375" style="2" customWidth="1"/>
    <col min="8" max="10" width="12.7109375" style="2" customWidth="1"/>
    <col min="11" max="11" width="4.7109375" style="2" customWidth="1"/>
    <col min="12" max="16384" width="9.140625" style="2" customWidth="1"/>
  </cols>
  <sheetData>
    <row r="2" spans="1:13" ht="12.75">
      <c r="A2" s="4" t="s">
        <v>25</v>
      </c>
      <c r="G2" s="10" t="s">
        <v>13</v>
      </c>
      <c r="L2" s="82" t="s">
        <v>45</v>
      </c>
      <c r="M2" s="82"/>
    </row>
    <row r="3" spans="1:13" ht="12.75">
      <c r="A3" s="2" t="s">
        <v>28</v>
      </c>
      <c r="B3" s="2" t="s">
        <v>17</v>
      </c>
      <c r="C3" s="5" t="s">
        <v>26</v>
      </c>
      <c r="D3" s="6" t="s">
        <v>29</v>
      </c>
      <c r="E3" s="4" t="s">
        <v>31</v>
      </c>
      <c r="H3" s="11" t="s">
        <v>14</v>
      </c>
      <c r="I3" s="11" t="s">
        <v>15</v>
      </c>
      <c r="J3" s="11" t="s">
        <v>16</v>
      </c>
      <c r="L3" s="12" t="s">
        <v>43</v>
      </c>
      <c r="M3" s="11" t="s">
        <v>44</v>
      </c>
    </row>
    <row r="4" spans="1:13" ht="12.75">
      <c r="A4" s="21">
        <v>132</v>
      </c>
      <c r="B4" s="21">
        <v>-0.5</v>
      </c>
      <c r="C4" s="21">
        <v>2.42</v>
      </c>
      <c r="D4" s="24">
        <f>$D7</f>
        <v>1.95</v>
      </c>
      <c r="E4" s="22">
        <f>A4+B4-C4+D4</f>
        <v>131.03</v>
      </c>
      <c r="G4" s="2" t="s">
        <v>20</v>
      </c>
      <c r="H4" s="22">
        <f>AVERAGE($A4,$A7)+$L$4</f>
        <v>152</v>
      </c>
      <c r="I4" s="22">
        <f>AVERAGE($A4,$A7)-$M$4</f>
        <v>122</v>
      </c>
      <c r="J4" s="22">
        <f>AVERAGE($A4,$A7)</f>
        <v>137</v>
      </c>
      <c r="L4" s="13">
        <v>15</v>
      </c>
      <c r="M4" s="27">
        <f>L4</f>
        <v>15</v>
      </c>
    </row>
    <row r="5" spans="1:10" ht="12.75">
      <c r="A5" s="4" t="s">
        <v>27</v>
      </c>
      <c r="G5" s="2" t="s">
        <v>3</v>
      </c>
      <c r="H5" s="22">
        <f>$B4</f>
        <v>-0.5</v>
      </c>
      <c r="I5" s="22">
        <f>$B4</f>
        <v>-0.5</v>
      </c>
      <c r="J5" s="22">
        <f>$B4</f>
        <v>-0.5</v>
      </c>
    </row>
    <row r="6" spans="1:10" ht="12.75">
      <c r="A6" s="4" t="s">
        <v>30</v>
      </c>
      <c r="B6" s="2" t="s">
        <v>17</v>
      </c>
      <c r="C6" s="5" t="s">
        <v>26</v>
      </c>
      <c r="D6" s="6" t="s">
        <v>29</v>
      </c>
      <c r="E6" s="4" t="s">
        <v>32</v>
      </c>
      <c r="G6" s="15" t="s">
        <v>21</v>
      </c>
      <c r="H6" s="23">
        <f>H4+H5</f>
        <v>151.5</v>
      </c>
      <c r="I6" s="23">
        <f>I4+I5</f>
        <v>121.5</v>
      </c>
      <c r="J6" s="23">
        <f>J4+J5</f>
        <v>136.5</v>
      </c>
    </row>
    <row r="7" spans="1:10" ht="12.75">
      <c r="A7" s="21">
        <v>142</v>
      </c>
      <c r="B7" s="22">
        <f>$B4</f>
        <v>-0.5</v>
      </c>
      <c r="C7" s="22">
        <f>$C4</f>
        <v>2.42</v>
      </c>
      <c r="D7" s="21">
        <v>1.95</v>
      </c>
      <c r="E7" s="22">
        <f>A7+B7-C7+D4</f>
        <v>141.03</v>
      </c>
      <c r="G7" s="2" t="s">
        <v>33</v>
      </c>
      <c r="H7" s="22">
        <f>$C4</f>
        <v>2.42</v>
      </c>
      <c r="I7" s="22">
        <f>$C4</f>
        <v>2.42</v>
      </c>
      <c r="J7" s="22">
        <f>$C4</f>
        <v>2.42</v>
      </c>
    </row>
    <row r="8" spans="7:10" ht="12.75">
      <c r="G8" s="2" t="s">
        <v>34</v>
      </c>
      <c r="H8" s="22">
        <f>IF(H4&lt;$A4,$A4-H4,0)</f>
        <v>0</v>
      </c>
      <c r="I8" s="22">
        <f>IF(I4&lt;$A4,$A4-I4,0)</f>
        <v>10</v>
      </c>
      <c r="J8" s="22">
        <f>IF(J4&lt;$A4,$A4-J4,0)</f>
        <v>0</v>
      </c>
    </row>
    <row r="9" spans="7:10" ht="12.75">
      <c r="G9" s="2" t="s">
        <v>35</v>
      </c>
      <c r="H9" s="22">
        <f>$D4</f>
        <v>1.95</v>
      </c>
      <c r="I9" s="22">
        <f>$D4</f>
        <v>1.95</v>
      </c>
      <c r="J9" s="22">
        <f>$D4</f>
        <v>1.95</v>
      </c>
    </row>
    <row r="10" spans="7:10" ht="12.75">
      <c r="G10" s="4" t="s">
        <v>53</v>
      </c>
      <c r="H10" s="22">
        <f>IF(A7&gt;$A4,$A7-H4,0)</f>
        <v>-10</v>
      </c>
      <c r="I10" s="22">
        <f>IF(B7&gt;$A4,$A7-I4,0)</f>
        <v>0</v>
      </c>
      <c r="J10" s="22">
        <f>IF(C7&gt;$A4,$A7-J4,0)</f>
        <v>0</v>
      </c>
    </row>
    <row r="11" spans="7:10" ht="12.75">
      <c r="G11" s="15" t="s">
        <v>23</v>
      </c>
      <c r="H11" s="23">
        <f>H6-H7+H8+H9+H10</f>
        <v>141.03</v>
      </c>
      <c r="I11" s="23">
        <f>I6-I7+I8+I9+I10</f>
        <v>131.02999999999997</v>
      </c>
      <c r="J11" s="23">
        <f>J6-J7+J8+J9+J10</f>
        <v>136.03</v>
      </c>
    </row>
    <row r="13" spans="1:10" ht="12.75">
      <c r="A13" s="4" t="s">
        <v>25</v>
      </c>
      <c r="G13" s="10" t="s">
        <v>13</v>
      </c>
      <c r="H13" s="10"/>
      <c r="I13" s="10"/>
      <c r="J13" s="10"/>
    </row>
    <row r="14" spans="1:10" ht="12.75">
      <c r="A14" s="2" t="s">
        <v>28</v>
      </c>
      <c r="B14" s="2" t="s">
        <v>17</v>
      </c>
      <c r="C14" s="5" t="s">
        <v>26</v>
      </c>
      <c r="D14" s="6" t="s">
        <v>29</v>
      </c>
      <c r="E14" s="4" t="s">
        <v>31</v>
      </c>
      <c r="G14" s="10"/>
      <c r="H14" s="11" t="s">
        <v>14</v>
      </c>
      <c r="I14" s="11" t="s">
        <v>15</v>
      </c>
      <c r="J14" s="11" t="s">
        <v>16</v>
      </c>
    </row>
    <row r="15" spans="1:10" ht="12.75">
      <c r="A15" s="21">
        <v>132</v>
      </c>
      <c r="B15" s="21">
        <v>-0.5</v>
      </c>
      <c r="C15" s="21">
        <v>2.42</v>
      </c>
      <c r="D15" s="24">
        <f>$D18</f>
        <v>1.47</v>
      </c>
      <c r="E15" s="22">
        <f>A15+B15-C15+D15</f>
        <v>130.55</v>
      </c>
      <c r="G15" s="2" t="s">
        <v>20</v>
      </c>
      <c r="H15" s="22">
        <f>AVERAGE($A15,$A18)+$L$4</f>
        <v>153</v>
      </c>
      <c r="I15" s="22">
        <f>AVERAGE($A15,$A18)-$M$4</f>
        <v>123</v>
      </c>
      <c r="J15" s="22">
        <f>AVERAGE($A15,$A18)</f>
        <v>138</v>
      </c>
    </row>
    <row r="16" spans="1:10" ht="12.75">
      <c r="A16" s="4" t="s">
        <v>27</v>
      </c>
      <c r="G16" s="2" t="s">
        <v>3</v>
      </c>
      <c r="H16" s="22">
        <f>$B15</f>
        <v>-0.5</v>
      </c>
      <c r="I16" s="22">
        <f>$B15</f>
        <v>-0.5</v>
      </c>
      <c r="J16" s="22">
        <f>$B15</f>
        <v>-0.5</v>
      </c>
    </row>
    <row r="17" spans="1:10" ht="12.75">
      <c r="A17" s="4" t="s">
        <v>30</v>
      </c>
      <c r="B17" s="2" t="s">
        <v>17</v>
      </c>
      <c r="C17" s="5" t="s">
        <v>26</v>
      </c>
      <c r="D17" s="6" t="s">
        <v>29</v>
      </c>
      <c r="E17" s="4" t="s">
        <v>32</v>
      </c>
      <c r="G17" s="15" t="s">
        <v>21</v>
      </c>
      <c r="H17" s="23">
        <f>H15+H16</f>
        <v>152.5</v>
      </c>
      <c r="I17" s="23">
        <f>I15+I16</f>
        <v>122.5</v>
      </c>
      <c r="J17" s="23">
        <f>J15+J16</f>
        <v>137.5</v>
      </c>
    </row>
    <row r="18" spans="1:10" ht="12.75">
      <c r="A18" s="21">
        <v>144</v>
      </c>
      <c r="B18" s="22">
        <f>$B15</f>
        <v>-0.5</v>
      </c>
      <c r="C18" s="22">
        <f>$C15</f>
        <v>2.42</v>
      </c>
      <c r="D18" s="21">
        <v>1.47</v>
      </c>
      <c r="E18" s="22">
        <f>A18+B18-C18+D18</f>
        <v>142.55</v>
      </c>
      <c r="G18" s="2" t="s">
        <v>33</v>
      </c>
      <c r="H18" s="22">
        <f>$C15</f>
        <v>2.42</v>
      </c>
      <c r="I18" s="22">
        <f>$C15</f>
        <v>2.42</v>
      </c>
      <c r="J18" s="22">
        <f>$C15</f>
        <v>2.42</v>
      </c>
    </row>
    <row r="19" spans="7:10" ht="12.75">
      <c r="G19" s="2" t="s">
        <v>34</v>
      </c>
      <c r="H19" s="22">
        <f>IF(H15&lt;$A15,$A15-H15,0)</f>
        <v>0</v>
      </c>
      <c r="I19" s="22">
        <f>IF(I15&lt;$A15,$A15-I15,0)</f>
        <v>9</v>
      </c>
      <c r="J19" s="22">
        <f>IF(J15&lt;$A15,$A15-J15,0)</f>
        <v>0</v>
      </c>
    </row>
    <row r="20" spans="7:10" ht="12.75">
      <c r="G20" s="2" t="s">
        <v>35</v>
      </c>
      <c r="H20" s="22">
        <f>$D15</f>
        <v>1.47</v>
      </c>
      <c r="I20" s="22">
        <f>$D15</f>
        <v>1.47</v>
      </c>
      <c r="J20" s="22">
        <f>$D15</f>
        <v>1.47</v>
      </c>
    </row>
    <row r="21" spans="7:10" ht="12.75">
      <c r="G21" s="4" t="s">
        <v>53</v>
      </c>
      <c r="H21" s="22">
        <f>IF(A18&gt;$A15,$A18-H15,0)</f>
        <v>-9</v>
      </c>
      <c r="I21" s="22">
        <f>IF(B18&gt;$A15,$A18-I15,0)</f>
        <v>0</v>
      </c>
      <c r="J21" s="22">
        <f>IF(C18&gt;$A15,$A18-J15,0)</f>
        <v>0</v>
      </c>
    </row>
    <row r="22" spans="7:10" ht="12.75">
      <c r="G22" s="15" t="s">
        <v>23</v>
      </c>
      <c r="H22" s="23">
        <f>H17-H18+H19+H20+H21</f>
        <v>142.55</v>
      </c>
      <c r="I22" s="23">
        <f>I17-I18+I19+I20+I21</f>
        <v>130.54999999999998</v>
      </c>
      <c r="J22" s="23">
        <f>J17-J18+J19+J20+J21</f>
        <v>136.55</v>
      </c>
    </row>
  </sheetData>
  <mergeCells count="1">
    <mergeCell ref="L2:M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6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3" width="9.140625" style="17" customWidth="1"/>
    <col min="4" max="4" width="6.28125" style="17" bestFit="1" customWidth="1"/>
    <col min="5" max="6" width="9.140625" style="17" customWidth="1"/>
    <col min="7" max="7" width="9.00390625" style="17" bestFit="1" customWidth="1"/>
    <col min="8" max="16384" width="9.140625" style="17" customWidth="1"/>
  </cols>
  <sheetData>
    <row r="1" ht="12.75"/>
    <row r="2" spans="1:12" s="11" customFormat="1" ht="12.75">
      <c r="A2" s="18" t="s">
        <v>6</v>
      </c>
      <c r="B2" s="31" t="s">
        <v>77</v>
      </c>
      <c r="C2" s="17"/>
      <c r="E2" s="11" t="s">
        <v>0</v>
      </c>
      <c r="F2" s="11" t="s">
        <v>7</v>
      </c>
      <c r="H2" s="11" t="s">
        <v>1</v>
      </c>
      <c r="I2" s="11" t="s">
        <v>1</v>
      </c>
      <c r="J2" s="11" t="s">
        <v>1</v>
      </c>
      <c r="K2" s="12" t="s">
        <v>10</v>
      </c>
      <c r="L2" s="12" t="s">
        <v>11</v>
      </c>
    </row>
    <row r="3" spans="1:12" ht="12.75">
      <c r="A3" s="18" t="s">
        <v>2</v>
      </c>
      <c r="B3" s="1">
        <v>136</v>
      </c>
      <c r="D3" s="18" t="s">
        <v>3</v>
      </c>
      <c r="E3" s="1">
        <v>-0.5</v>
      </c>
      <c r="G3" s="18" t="s">
        <v>4</v>
      </c>
      <c r="H3" s="55">
        <v>134</v>
      </c>
      <c r="I3" s="55">
        <v>132</v>
      </c>
      <c r="J3" s="55">
        <v>130</v>
      </c>
      <c r="K3" s="54">
        <f>I3</f>
        <v>132</v>
      </c>
      <c r="L3" s="54">
        <f>I3</f>
        <v>132</v>
      </c>
    </row>
    <row r="4" spans="7:12" ht="12.75">
      <c r="G4" s="18" t="s">
        <v>5</v>
      </c>
      <c r="H4" s="8">
        <v>3.1</v>
      </c>
      <c r="I4" s="8">
        <v>2.42</v>
      </c>
      <c r="J4" s="8">
        <v>1.85</v>
      </c>
      <c r="K4" s="19">
        <f>I4</f>
        <v>2.42</v>
      </c>
      <c r="L4" s="19">
        <f>I4</f>
        <v>2.42</v>
      </c>
    </row>
    <row r="5" spans="2:12" ht="12.75">
      <c r="B5" s="11" t="s">
        <v>8</v>
      </c>
      <c r="C5" s="11" t="s">
        <v>9</v>
      </c>
      <c r="G5" s="18" t="s">
        <v>4</v>
      </c>
      <c r="K5" s="55">
        <v>142</v>
      </c>
      <c r="L5" s="55">
        <v>144</v>
      </c>
    </row>
    <row r="6" spans="7:12" ht="12.75">
      <c r="G6" s="18" t="s">
        <v>5</v>
      </c>
      <c r="K6" s="8">
        <v>1.95</v>
      </c>
      <c r="L6" s="8">
        <v>1.47</v>
      </c>
    </row>
    <row r="7" spans="7:12" ht="12.75">
      <c r="G7" s="18"/>
      <c r="K7" s="9"/>
      <c r="L7" s="9"/>
    </row>
    <row r="8" spans="2:12" ht="12.75">
      <c r="B8" s="19">
        <f aca="true" t="shared" si="0" ref="B8:B15">B9-$B$26</f>
        <v>120</v>
      </c>
      <c r="C8" s="19">
        <f>ROUND(B8+C$26,2)</f>
        <v>120</v>
      </c>
      <c r="D8" s="19"/>
      <c r="E8" s="19">
        <f>C8+$E$3</f>
        <v>119.5</v>
      </c>
      <c r="F8" s="19">
        <f>$B$3+$E$3</f>
        <v>135.5</v>
      </c>
      <c r="G8" s="19"/>
      <c r="H8" s="19">
        <f aca="true" t="shared" si="1" ref="H8:J10">MAX($E8-H$4,H$3+$E$3-H$4)</f>
        <v>130.4</v>
      </c>
      <c r="I8" s="19">
        <f t="shared" si="1"/>
        <v>129.08</v>
      </c>
      <c r="J8" s="19">
        <f t="shared" si="1"/>
        <v>127.65</v>
      </c>
      <c r="K8" s="19">
        <f aca="true" t="shared" si="2" ref="K8:L10">IF($C8&lt;K$3,K$3+$E$3-K$4+K$6,IF($C8&gt;K$5,K$5+$E$3-K$4+K$6,$E8-K$4+K$6))</f>
        <v>131.03</v>
      </c>
      <c r="L8" s="19">
        <f t="shared" si="2"/>
        <v>130.55</v>
      </c>
    </row>
    <row r="9" spans="2:12" ht="12.75">
      <c r="B9" s="19">
        <f t="shared" si="0"/>
        <v>122</v>
      </c>
      <c r="C9" s="19">
        <f>ROUND(B9+C$26,2)</f>
        <v>122</v>
      </c>
      <c r="D9" s="19"/>
      <c r="E9" s="19">
        <f>C9+$E$3</f>
        <v>121.5</v>
      </c>
      <c r="F9" s="19">
        <f>$B$3+$E$3</f>
        <v>135.5</v>
      </c>
      <c r="G9" s="19"/>
      <c r="H9" s="19">
        <f t="shared" si="1"/>
        <v>130.4</v>
      </c>
      <c r="I9" s="19">
        <f t="shared" si="1"/>
        <v>129.08</v>
      </c>
      <c r="J9" s="19">
        <f t="shared" si="1"/>
        <v>127.65</v>
      </c>
      <c r="K9" s="19">
        <f t="shared" si="2"/>
        <v>131.03</v>
      </c>
      <c r="L9" s="19">
        <f t="shared" si="2"/>
        <v>130.55</v>
      </c>
    </row>
    <row r="10" spans="2:12" ht="12.75">
      <c r="B10" s="19">
        <f t="shared" si="0"/>
        <v>124</v>
      </c>
      <c r="C10" s="19">
        <f>ROUND(B10+C$26,2)</f>
        <v>124</v>
      </c>
      <c r="D10" s="19"/>
      <c r="E10" s="19">
        <f>C10+$E$3</f>
        <v>123.5</v>
      </c>
      <c r="F10" s="19">
        <f>$B$3+$E$3</f>
        <v>135.5</v>
      </c>
      <c r="G10" s="19"/>
      <c r="H10" s="19">
        <f t="shared" si="1"/>
        <v>130.4</v>
      </c>
      <c r="I10" s="19">
        <f t="shared" si="1"/>
        <v>129.08</v>
      </c>
      <c r="J10" s="19">
        <f t="shared" si="1"/>
        <v>127.65</v>
      </c>
      <c r="K10" s="19">
        <f t="shared" si="2"/>
        <v>131.03</v>
      </c>
      <c r="L10" s="19">
        <f t="shared" si="2"/>
        <v>130.55</v>
      </c>
    </row>
    <row r="11" spans="2:12" ht="12.75">
      <c r="B11" s="19">
        <f t="shared" si="0"/>
        <v>126</v>
      </c>
      <c r="C11" s="19">
        <f>ROUND(B11+C$26,2)</f>
        <v>126</v>
      </c>
      <c r="D11" s="19"/>
      <c r="E11" s="19">
        <f>C11+$E$3</f>
        <v>125.5</v>
      </c>
      <c r="F11" s="19">
        <f>$B$3+$E$3</f>
        <v>135.5</v>
      </c>
      <c r="G11" s="19"/>
      <c r="H11" s="19">
        <f>MAX($E11-H$4,H$3+$E$3-H$4)</f>
        <v>130.4</v>
      </c>
      <c r="I11" s="19">
        <f>MAX($E11-I$4,I$3+$E$3-I$4)</f>
        <v>129.08</v>
      </c>
      <c r="J11" s="19">
        <f>MAX($E11-J$4,J$3+$E$3-J$4)</f>
        <v>127.65</v>
      </c>
      <c r="K11" s="19">
        <f>IF($C11&lt;K$3,K$3+$E$3-K$4+K$6,IF($C11&gt;K$5,K$5+$E$3-K$4+K$6,$E11-K$4+K$6))</f>
        <v>131.03</v>
      </c>
      <c r="L11" s="19">
        <f>IF($C11&lt;L$3,L$3+$E$3-L$4+L$6,IF($C11&gt;L$5,L$5+$E$3-L$4+L$6,$E11-L$4+L$6))</f>
        <v>130.55</v>
      </c>
    </row>
    <row r="12" spans="2:12" ht="12.75">
      <c r="B12" s="19">
        <f t="shared" si="0"/>
        <v>128</v>
      </c>
      <c r="C12" s="19">
        <f aca="true" t="shared" si="3" ref="C12:C24">ROUND(B12+C$26,2)</f>
        <v>128</v>
      </c>
      <c r="D12" s="19"/>
      <c r="E12" s="19">
        <f aca="true" t="shared" si="4" ref="E12:E21">C12+$E$3</f>
        <v>127.5</v>
      </c>
      <c r="F12" s="19">
        <f aca="true" t="shared" si="5" ref="F12:F24">$B$3+$E$3</f>
        <v>135.5</v>
      </c>
      <c r="G12" s="19"/>
      <c r="H12" s="19">
        <f aca="true" t="shared" si="6" ref="H12:J24">MAX($E12-H$4,H$3+$E$3-H$4)</f>
        <v>130.4</v>
      </c>
      <c r="I12" s="19">
        <f>MAX($E12-I$4,I$3+$E$3-I$4)</f>
        <v>129.08</v>
      </c>
      <c r="J12" s="19">
        <f>MAX($E12-J$4,J$3+$E$3-J$4)</f>
        <v>127.65</v>
      </c>
      <c r="K12" s="19">
        <f aca="true" t="shared" si="7" ref="K12:L24">IF($C12&lt;K$3,K$3+$E$3-K$4+K$6,IF($C12&gt;K$5,K$5+$E$3-K$4+K$6,$E12-K$4+K$6))</f>
        <v>131.03</v>
      </c>
      <c r="L12" s="19">
        <f t="shared" si="7"/>
        <v>130.55</v>
      </c>
    </row>
    <row r="13" spans="2:12" ht="12.75">
      <c r="B13" s="19">
        <f t="shared" si="0"/>
        <v>130</v>
      </c>
      <c r="C13" s="19">
        <f t="shared" si="3"/>
        <v>130</v>
      </c>
      <c r="D13" s="19"/>
      <c r="E13" s="19">
        <f t="shared" si="4"/>
        <v>129.5</v>
      </c>
      <c r="F13" s="19">
        <f t="shared" si="5"/>
        <v>135.5</v>
      </c>
      <c r="G13" s="19"/>
      <c r="H13" s="19">
        <f t="shared" si="6"/>
        <v>130.4</v>
      </c>
      <c r="I13" s="19">
        <f t="shared" si="6"/>
        <v>129.08</v>
      </c>
      <c r="J13" s="19">
        <f t="shared" si="6"/>
        <v>127.65</v>
      </c>
      <c r="K13" s="19">
        <f t="shared" si="7"/>
        <v>131.03</v>
      </c>
      <c r="L13" s="19">
        <f t="shared" si="7"/>
        <v>130.55</v>
      </c>
    </row>
    <row r="14" spans="2:12" ht="12.75">
      <c r="B14" s="19">
        <f t="shared" si="0"/>
        <v>132</v>
      </c>
      <c r="C14" s="19">
        <f t="shared" si="3"/>
        <v>132</v>
      </c>
      <c r="D14" s="19"/>
      <c r="E14" s="19">
        <f t="shared" si="4"/>
        <v>131.5</v>
      </c>
      <c r="F14" s="19">
        <f t="shared" si="5"/>
        <v>135.5</v>
      </c>
      <c r="G14" s="19"/>
      <c r="H14" s="19">
        <f t="shared" si="6"/>
        <v>130.4</v>
      </c>
      <c r="I14" s="19">
        <f t="shared" si="6"/>
        <v>129.08</v>
      </c>
      <c r="J14" s="19">
        <f t="shared" si="6"/>
        <v>129.65</v>
      </c>
      <c r="K14" s="19">
        <f t="shared" si="7"/>
        <v>131.03</v>
      </c>
      <c r="L14" s="19">
        <f t="shared" si="7"/>
        <v>130.55</v>
      </c>
    </row>
    <row r="15" spans="2:12" ht="12.75">
      <c r="B15" s="19">
        <f t="shared" si="0"/>
        <v>134</v>
      </c>
      <c r="C15" s="19">
        <f t="shared" si="3"/>
        <v>134</v>
      </c>
      <c r="D15" s="19"/>
      <c r="E15" s="19">
        <f t="shared" si="4"/>
        <v>133.5</v>
      </c>
      <c r="F15" s="19">
        <f t="shared" si="5"/>
        <v>135.5</v>
      </c>
      <c r="G15" s="19"/>
      <c r="H15" s="19">
        <f t="shared" si="6"/>
        <v>130.4</v>
      </c>
      <c r="I15" s="19">
        <f t="shared" si="6"/>
        <v>131.08</v>
      </c>
      <c r="J15" s="19">
        <f t="shared" si="6"/>
        <v>131.65</v>
      </c>
      <c r="K15" s="19">
        <f t="shared" si="7"/>
        <v>133.03</v>
      </c>
      <c r="L15" s="19">
        <f t="shared" si="7"/>
        <v>132.55</v>
      </c>
    </row>
    <row r="16" spans="2:12" ht="12.75">
      <c r="B16" s="19">
        <f>B3</f>
        <v>136</v>
      </c>
      <c r="C16" s="19">
        <f t="shared" si="3"/>
        <v>136</v>
      </c>
      <c r="D16" s="19"/>
      <c r="E16" s="19">
        <f t="shared" si="4"/>
        <v>135.5</v>
      </c>
      <c r="F16" s="19">
        <f>$B$3+$E$3</f>
        <v>135.5</v>
      </c>
      <c r="G16" s="19"/>
      <c r="H16" s="19">
        <f>MAX($E16-H$4,H$3+$E$3-H$4)</f>
        <v>132.4</v>
      </c>
      <c r="I16" s="19">
        <f t="shared" si="6"/>
        <v>133.08</v>
      </c>
      <c r="J16" s="19">
        <f t="shared" si="6"/>
        <v>133.65</v>
      </c>
      <c r="K16" s="19">
        <f t="shared" si="7"/>
        <v>135.03</v>
      </c>
      <c r="L16" s="19">
        <f t="shared" si="7"/>
        <v>134.55</v>
      </c>
    </row>
    <row r="17" spans="2:12" ht="12.75">
      <c r="B17" s="19">
        <f aca="true" t="shared" si="8" ref="B17:B24">B16+$B$26</f>
        <v>138</v>
      </c>
      <c r="C17" s="19">
        <f t="shared" si="3"/>
        <v>138</v>
      </c>
      <c r="D17" s="19"/>
      <c r="E17" s="19">
        <f t="shared" si="4"/>
        <v>137.5</v>
      </c>
      <c r="F17" s="19">
        <f t="shared" si="5"/>
        <v>135.5</v>
      </c>
      <c r="G17" s="19"/>
      <c r="H17" s="19">
        <f t="shared" si="6"/>
        <v>134.4</v>
      </c>
      <c r="I17" s="19">
        <f t="shared" si="6"/>
        <v>135.08</v>
      </c>
      <c r="J17" s="19">
        <f t="shared" si="6"/>
        <v>135.65</v>
      </c>
      <c r="K17" s="19">
        <f t="shared" si="7"/>
        <v>137.03</v>
      </c>
      <c r="L17" s="19">
        <f t="shared" si="7"/>
        <v>136.55</v>
      </c>
    </row>
    <row r="18" spans="2:12" ht="12.75">
      <c r="B18" s="19">
        <f t="shared" si="8"/>
        <v>140</v>
      </c>
      <c r="C18" s="19">
        <f t="shared" si="3"/>
        <v>140</v>
      </c>
      <c r="D18" s="19"/>
      <c r="E18" s="19">
        <f t="shared" si="4"/>
        <v>139.5</v>
      </c>
      <c r="F18" s="19">
        <f t="shared" si="5"/>
        <v>135.5</v>
      </c>
      <c r="G18" s="19"/>
      <c r="H18" s="19">
        <f t="shared" si="6"/>
        <v>136.4</v>
      </c>
      <c r="I18" s="19">
        <f t="shared" si="6"/>
        <v>137.08</v>
      </c>
      <c r="J18" s="19">
        <f t="shared" si="6"/>
        <v>137.65</v>
      </c>
      <c r="K18" s="19">
        <f t="shared" si="7"/>
        <v>139.03</v>
      </c>
      <c r="L18" s="19">
        <f t="shared" si="7"/>
        <v>138.55</v>
      </c>
    </row>
    <row r="19" spans="2:12" ht="12.75">
      <c r="B19" s="19">
        <f t="shared" si="8"/>
        <v>142</v>
      </c>
      <c r="C19" s="19">
        <f t="shared" si="3"/>
        <v>142</v>
      </c>
      <c r="D19" s="19"/>
      <c r="E19" s="19">
        <f t="shared" si="4"/>
        <v>141.5</v>
      </c>
      <c r="F19" s="19">
        <f t="shared" si="5"/>
        <v>135.5</v>
      </c>
      <c r="G19" s="19"/>
      <c r="H19" s="19">
        <f t="shared" si="6"/>
        <v>138.4</v>
      </c>
      <c r="I19" s="19">
        <f t="shared" si="6"/>
        <v>139.08</v>
      </c>
      <c r="J19" s="19">
        <f t="shared" si="6"/>
        <v>139.65</v>
      </c>
      <c r="K19" s="19">
        <f t="shared" si="7"/>
        <v>141.03</v>
      </c>
      <c r="L19" s="19">
        <f t="shared" si="7"/>
        <v>140.55</v>
      </c>
    </row>
    <row r="20" spans="2:12" ht="12.75">
      <c r="B20" s="19">
        <f t="shared" si="8"/>
        <v>144</v>
      </c>
      <c r="C20" s="19">
        <f t="shared" si="3"/>
        <v>144</v>
      </c>
      <c r="D20" s="19"/>
      <c r="E20" s="19">
        <f t="shared" si="4"/>
        <v>143.5</v>
      </c>
      <c r="F20" s="19">
        <f t="shared" si="5"/>
        <v>135.5</v>
      </c>
      <c r="G20" s="19"/>
      <c r="H20" s="19">
        <f t="shared" si="6"/>
        <v>140.4</v>
      </c>
      <c r="I20" s="19">
        <f t="shared" si="6"/>
        <v>141.08</v>
      </c>
      <c r="J20" s="19">
        <f t="shared" si="6"/>
        <v>141.65</v>
      </c>
      <c r="K20" s="19">
        <f t="shared" si="7"/>
        <v>141.03</v>
      </c>
      <c r="L20" s="19">
        <f t="shared" si="7"/>
        <v>142.55</v>
      </c>
    </row>
    <row r="21" spans="2:12" ht="12.75">
      <c r="B21" s="19">
        <f t="shared" si="8"/>
        <v>146</v>
      </c>
      <c r="C21" s="19">
        <f t="shared" si="3"/>
        <v>146</v>
      </c>
      <c r="D21" s="19"/>
      <c r="E21" s="19">
        <f t="shared" si="4"/>
        <v>145.5</v>
      </c>
      <c r="F21" s="19">
        <f t="shared" si="5"/>
        <v>135.5</v>
      </c>
      <c r="G21" s="19"/>
      <c r="H21" s="19">
        <f t="shared" si="6"/>
        <v>142.4</v>
      </c>
      <c r="I21" s="19">
        <f t="shared" si="6"/>
        <v>143.08</v>
      </c>
      <c r="J21" s="19">
        <f t="shared" si="6"/>
        <v>143.65</v>
      </c>
      <c r="K21" s="19">
        <f t="shared" si="7"/>
        <v>141.03</v>
      </c>
      <c r="L21" s="19">
        <f t="shared" si="7"/>
        <v>142.55</v>
      </c>
    </row>
    <row r="22" spans="2:12" ht="12.75">
      <c r="B22" s="19">
        <f t="shared" si="8"/>
        <v>148</v>
      </c>
      <c r="C22" s="19">
        <f t="shared" si="3"/>
        <v>148</v>
      </c>
      <c r="D22" s="19"/>
      <c r="E22" s="19">
        <f>C22+$E$3</f>
        <v>147.5</v>
      </c>
      <c r="F22" s="19">
        <f t="shared" si="5"/>
        <v>135.5</v>
      </c>
      <c r="G22" s="19"/>
      <c r="H22" s="19">
        <f t="shared" si="6"/>
        <v>144.4</v>
      </c>
      <c r="I22" s="19">
        <f t="shared" si="6"/>
        <v>145.08</v>
      </c>
      <c r="J22" s="19">
        <f t="shared" si="6"/>
        <v>145.65</v>
      </c>
      <c r="K22" s="19">
        <f t="shared" si="7"/>
        <v>141.03</v>
      </c>
      <c r="L22" s="19">
        <f t="shared" si="7"/>
        <v>142.55</v>
      </c>
    </row>
    <row r="23" spans="2:12" ht="12.75">
      <c r="B23" s="19">
        <f t="shared" si="8"/>
        <v>150</v>
      </c>
      <c r="C23" s="19">
        <f t="shared" si="3"/>
        <v>150</v>
      </c>
      <c r="D23" s="19"/>
      <c r="E23" s="19">
        <f>C23+$E$3</f>
        <v>149.5</v>
      </c>
      <c r="F23" s="19">
        <f t="shared" si="5"/>
        <v>135.5</v>
      </c>
      <c r="G23" s="19"/>
      <c r="H23" s="19">
        <f t="shared" si="6"/>
        <v>146.4</v>
      </c>
      <c r="I23" s="19">
        <f t="shared" si="6"/>
        <v>147.08</v>
      </c>
      <c r="J23" s="19">
        <f t="shared" si="6"/>
        <v>147.65</v>
      </c>
      <c r="K23" s="19">
        <f t="shared" si="7"/>
        <v>141.03</v>
      </c>
      <c r="L23" s="19">
        <f t="shared" si="7"/>
        <v>142.55</v>
      </c>
    </row>
    <row r="24" spans="2:12" ht="12.75">
      <c r="B24" s="19">
        <f t="shared" si="8"/>
        <v>152</v>
      </c>
      <c r="C24" s="19">
        <f t="shared" si="3"/>
        <v>152</v>
      </c>
      <c r="D24" s="19"/>
      <c r="E24" s="19">
        <f>C24+$E$3</f>
        <v>151.5</v>
      </c>
      <c r="F24" s="19">
        <f t="shared" si="5"/>
        <v>135.5</v>
      </c>
      <c r="G24" s="19"/>
      <c r="H24" s="19">
        <f t="shared" si="6"/>
        <v>148.4</v>
      </c>
      <c r="I24" s="19">
        <f t="shared" si="6"/>
        <v>149.08</v>
      </c>
      <c r="J24" s="19">
        <f t="shared" si="6"/>
        <v>149.65</v>
      </c>
      <c r="K24" s="19">
        <f t="shared" si="7"/>
        <v>141.03</v>
      </c>
      <c r="L24" s="19">
        <f t="shared" si="7"/>
        <v>142.55</v>
      </c>
    </row>
    <row r="25" ht="12.75"/>
    <row r="26" spans="1:3" ht="12.75">
      <c r="A26" s="20" t="s">
        <v>46</v>
      </c>
      <c r="B26" s="8">
        <v>2</v>
      </c>
      <c r="C26" s="8">
        <v>0</v>
      </c>
    </row>
    <row r="27" ht="12.75"/>
    <row r="28" ht="12.75"/>
  </sheetData>
  <printOptions/>
  <pageMargins left="0.75" right="0.75" top="1" bottom="1" header="0.5" footer="0.5"/>
  <pageSetup horizontalDpi="600" verticalDpi="600" orientation="landscape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L36"/>
  <sheetViews>
    <sheetView zoomScale="110" zoomScaleNormal="110" workbookViewId="0" topLeftCell="A1">
      <selection activeCell="B2" sqref="B2"/>
    </sheetView>
  </sheetViews>
  <sheetFormatPr defaultColWidth="9.140625" defaultRowHeight="12.75"/>
  <cols>
    <col min="1" max="1" width="4.7109375" style="17" customWidth="1"/>
    <col min="2" max="2" width="16.7109375" style="17" customWidth="1"/>
    <col min="3" max="7" width="10.7109375" style="17" customWidth="1"/>
    <col min="8" max="8" width="4.7109375" style="17" customWidth="1"/>
    <col min="9" max="10" width="10.7109375" style="17" customWidth="1"/>
    <col min="11" max="11" width="9.140625" style="17" customWidth="1"/>
    <col min="12" max="12" width="9.28125" style="17" bestFit="1" customWidth="1"/>
    <col min="13" max="16384" width="9.140625" style="17" customWidth="1"/>
  </cols>
  <sheetData>
    <row r="2" spans="3:10" ht="12.75">
      <c r="C2" s="83" t="s">
        <v>90</v>
      </c>
      <c r="D2" s="83"/>
      <c r="E2" s="83"/>
      <c r="F2" s="83"/>
      <c r="G2" s="83"/>
      <c r="I2" s="83" t="s">
        <v>91</v>
      </c>
      <c r="J2" s="83"/>
    </row>
    <row r="3" spans="2:12" ht="12.75">
      <c r="B3" s="17" t="s">
        <v>78</v>
      </c>
      <c r="C3" s="29" t="s">
        <v>77</v>
      </c>
      <c r="D3" s="29" t="s">
        <v>77</v>
      </c>
      <c r="E3" s="29" t="s">
        <v>77</v>
      </c>
      <c r="F3" s="29" t="s">
        <v>77</v>
      </c>
      <c r="G3" s="29" t="s">
        <v>77</v>
      </c>
      <c r="I3" s="29" t="s">
        <v>77</v>
      </c>
      <c r="J3" s="29" t="s">
        <v>77</v>
      </c>
      <c r="L3" s="29" t="s">
        <v>92</v>
      </c>
    </row>
    <row r="4" spans="2:12" ht="12.75">
      <c r="B4" s="17" t="s">
        <v>81</v>
      </c>
      <c r="C4" s="56">
        <v>40817</v>
      </c>
      <c r="D4" s="56">
        <v>40817</v>
      </c>
      <c r="E4" s="56">
        <v>40817</v>
      </c>
      <c r="F4" s="56">
        <v>40817</v>
      </c>
      <c r="G4" s="56">
        <v>40817</v>
      </c>
      <c r="I4" s="56">
        <v>40817</v>
      </c>
      <c r="J4" s="56">
        <v>40817</v>
      </c>
      <c r="L4" s="56">
        <v>40817</v>
      </c>
    </row>
    <row r="5" spans="2:12" ht="12.75">
      <c r="B5" s="17" t="s">
        <v>20</v>
      </c>
      <c r="C5" s="1">
        <v>136</v>
      </c>
      <c r="D5" s="1">
        <v>136</v>
      </c>
      <c r="E5" s="1">
        <v>136</v>
      </c>
      <c r="F5" s="1">
        <v>136</v>
      </c>
      <c r="G5" s="1">
        <v>136</v>
      </c>
      <c r="I5" s="60">
        <v>146</v>
      </c>
      <c r="J5" s="60">
        <v>156</v>
      </c>
      <c r="L5" s="60">
        <v>136.3</v>
      </c>
    </row>
    <row r="7" spans="2:12" ht="12.75">
      <c r="B7" s="17" t="s">
        <v>79</v>
      </c>
      <c r="C7" s="56">
        <v>40617</v>
      </c>
      <c r="D7" s="59">
        <v>40709</v>
      </c>
      <c r="E7" s="59">
        <v>40739</v>
      </c>
      <c r="F7" s="59">
        <v>40770</v>
      </c>
      <c r="G7" s="59">
        <v>40801</v>
      </c>
      <c r="I7" s="56">
        <v>40739</v>
      </c>
      <c r="J7" s="56">
        <v>40739</v>
      </c>
      <c r="L7" s="56">
        <v>40760</v>
      </c>
    </row>
    <row r="8" spans="2:12" ht="12.75">
      <c r="B8" s="17" t="s">
        <v>80</v>
      </c>
      <c r="C8" s="54">
        <f>C4-C7</f>
        <v>200</v>
      </c>
      <c r="D8" s="54">
        <f>D4-D7</f>
        <v>108</v>
      </c>
      <c r="E8" s="54">
        <f>E4-E7</f>
        <v>78</v>
      </c>
      <c r="F8" s="54">
        <f>F4-F7</f>
        <v>47</v>
      </c>
      <c r="G8" s="54">
        <f>G4-G7</f>
        <v>16</v>
      </c>
      <c r="I8" s="54">
        <f>I4-I7</f>
        <v>78</v>
      </c>
      <c r="J8" s="54">
        <f>J4-J7</f>
        <v>78</v>
      </c>
      <c r="L8" s="54">
        <f>L4-L7</f>
        <v>57</v>
      </c>
    </row>
    <row r="10" spans="2:12" ht="12.75">
      <c r="B10" s="17" t="s">
        <v>12</v>
      </c>
      <c r="C10" s="1">
        <v>136</v>
      </c>
      <c r="D10" s="1">
        <v>136</v>
      </c>
      <c r="E10" s="1">
        <v>136</v>
      </c>
      <c r="F10" s="1">
        <v>136</v>
      </c>
      <c r="G10" s="1">
        <v>136</v>
      </c>
      <c r="I10" s="1">
        <v>136</v>
      </c>
      <c r="J10" s="1">
        <v>136</v>
      </c>
      <c r="L10" s="1">
        <v>136</v>
      </c>
    </row>
    <row r="11" spans="2:12" ht="12.75">
      <c r="B11" s="17" t="s">
        <v>82</v>
      </c>
      <c r="C11" s="1">
        <f>$L$11</f>
        <v>0.0002</v>
      </c>
      <c r="D11" s="1">
        <f>$L$11</f>
        <v>0.0002</v>
      </c>
      <c r="E11" s="1">
        <f>$L$11</f>
        <v>0.0002</v>
      </c>
      <c r="F11" s="1">
        <f>$L$11</f>
        <v>0.0002</v>
      </c>
      <c r="G11" s="1">
        <f>$L$11</f>
        <v>0.0002</v>
      </c>
      <c r="I11" s="1">
        <f>$L$11</f>
        <v>0.0002</v>
      </c>
      <c r="J11" s="1">
        <f>$L$11</f>
        <v>0.0002</v>
      </c>
      <c r="L11" s="70">
        <v>0.0002</v>
      </c>
    </row>
    <row r="12" spans="2:12" ht="12.75">
      <c r="B12" s="17" t="s">
        <v>83</v>
      </c>
      <c r="C12" s="1">
        <v>0.1941</v>
      </c>
      <c r="D12" s="1">
        <v>0.1941</v>
      </c>
      <c r="E12" s="1">
        <v>0.1941</v>
      </c>
      <c r="F12" s="1">
        <v>0.1941</v>
      </c>
      <c r="G12" s="1">
        <v>0.1941</v>
      </c>
      <c r="I12" s="1">
        <v>0.1941</v>
      </c>
      <c r="J12" s="1">
        <v>0.1941</v>
      </c>
      <c r="L12" s="69">
        <v>0.1941</v>
      </c>
    </row>
    <row r="14" spans="2:12" ht="12.75">
      <c r="B14" s="17" t="s">
        <v>84</v>
      </c>
      <c r="C14" s="58">
        <f>-EXP(-C11*C8)*(C5*NORMSDIST(-C17)-C10*NORMSDIST(-C18))</f>
        <v>7.535079881110604</v>
      </c>
      <c r="D14" s="58">
        <f>-EXP(-D11*D8)*(D5*NORMSDIST(-D17)-D10*NORMSDIST(-D18))</f>
        <v>5.642218364071555</v>
      </c>
      <c r="E14" s="58">
        <f>-EXP(-E11*E8)*(E5*NORMSDIST(-E17)-E10*NORMSDIST(-E18))</f>
        <v>4.824450719541136</v>
      </c>
      <c r="F14" s="58">
        <f>-EXP(-F11*F8)*(F5*NORMSDIST(-F17)-F10*NORMSDIST(-F18))</f>
        <v>3.7687803015176997</v>
      </c>
      <c r="G14" s="58">
        <f>-EXP(-G11*G8)*(G5*NORMSDIST(-G17)-G10*NORMSDIST(-G18))</f>
        <v>2.212907237035049</v>
      </c>
      <c r="I14" s="58">
        <f>-EXP(-I11*I8)*(I5*NORMSDIST(-I17)-I10*NORMSDIST(-I18))</f>
        <v>1.5451621052090705</v>
      </c>
      <c r="J14" s="58">
        <f>-EXP(-J11*J8)*(J5*NORMSDIST(-J17)-J10*NORMSDIST(-J18))</f>
        <v>0.36364524124323716</v>
      </c>
      <c r="L14" s="58">
        <f>-EXP(-L11*L8)*(L5*NORMSDIST(-L17)-L10*NORMSDIST(-L18))</f>
        <v>3.9998759617588133</v>
      </c>
    </row>
    <row r="15" spans="2:12" ht="12.75">
      <c r="B15" s="17" t="s">
        <v>85</v>
      </c>
      <c r="C15" s="58">
        <f>EXP(-C11*C8)*(C5*NORMSDIST(C17)-C10*NORMSDIST(C18))</f>
        <v>7.535079881110604</v>
      </c>
      <c r="D15" s="58">
        <f>EXP(-D11*D8)*(D5*NORMSDIST(D17)-D10*NORMSDIST(D18))</f>
        <v>5.642218364071555</v>
      </c>
      <c r="E15" s="58">
        <f>EXP(-E11*E8)*(E5*NORMSDIST(E17)-E10*NORMSDIST(E18))</f>
        <v>4.824450719541136</v>
      </c>
      <c r="F15" s="58">
        <f>EXP(-F11*F8)*(F5*NORMSDIST(F17)-F10*NORMSDIST(F18))</f>
        <v>3.7687803015176997</v>
      </c>
      <c r="G15" s="58">
        <f>EXP(-G11*G8)*(G5*NORMSDIST(G17)-G10*NORMSDIST(G18))</f>
        <v>2.212907237035049</v>
      </c>
      <c r="I15" s="58">
        <f>EXP(-I11*I8)*(I5*NORMSDIST(I17)-I10*NORMSDIST(I18))</f>
        <v>11.390372602448979</v>
      </c>
      <c r="J15" s="58">
        <f>EXP(-J11*J8)*(J5*NORMSDIST(J17)-J10*NORMSDIST(J18))</f>
        <v>20.054066235723063</v>
      </c>
      <c r="L15" s="58">
        <f>EXP(-L11*L8)*(L5*NORMSDIST(L17)-L10*NORMSDIST(L18))</f>
        <v>4.2964753818922645</v>
      </c>
    </row>
    <row r="17" spans="2:12" ht="12.75" hidden="1">
      <c r="B17" s="17" t="s">
        <v>86</v>
      </c>
      <c r="C17" s="57">
        <f>(LN(C5/C10)+(C12^2*(C8/360))/2)/(C12*SQRT((C8/360)))</f>
        <v>0.0723367990721182</v>
      </c>
      <c r="D17" s="57">
        <f>(LN(D5/D10)+(D12^2*(D8/360))/2)/(D12*SQRT((D8/360)))</f>
        <v>0.053156474205876374</v>
      </c>
      <c r="E17" s="57">
        <f>(LN(E5/E10)+(E12^2*(E8/360))/2)/(E12*SQRT((E8/360)))</f>
        <v>0.04517431654159252</v>
      </c>
      <c r="F17" s="57">
        <f>(LN(F5/F10)+(F12^2*(F8/360))/2)/(F12*SQRT((F8/360)))</f>
        <v>0.03506656438118796</v>
      </c>
      <c r="G17" s="57">
        <f>(LN(G5/G10)+(G12^2*(G8/360))/2)/(G12*SQRT((G8/360)))</f>
        <v>0.02045993646128941</v>
      </c>
      <c r="I17" s="57">
        <f>(LN(I5/I10)+(I12^2*(I8/360))/2)/(I12*SQRT((I8/360)))</f>
        <v>0.8304848801995761</v>
      </c>
      <c r="J17" s="57">
        <f>(LN(J5/J10)+(J12^2*(J8/360))/2)/(J12*SQRT((J8/360)))</f>
        <v>1.5637487191798956</v>
      </c>
      <c r="L17" s="57">
        <f>(LN(L5/L10)+(L12^2*(L8/360))/2)/(L12*SQRT((L8/360)))</f>
        <v>0.06714664601430455</v>
      </c>
    </row>
    <row r="18" spans="2:12" ht="12.75" hidden="1">
      <c r="B18" s="17" t="s">
        <v>87</v>
      </c>
      <c r="C18" s="57">
        <f>(LN(C5/C10)-(C12^2*(C8/360))/2)/(C12*SQRT((C8/360)))</f>
        <v>-0.0723367990721182</v>
      </c>
      <c r="D18" s="57">
        <f>(LN(D5/D10)-(D12^2*(D8/360))/2)/(D12*SQRT((D8/360)))</f>
        <v>-0.053156474205876374</v>
      </c>
      <c r="E18" s="57">
        <f>(LN(E5/E10)-(E12^2*(E8/360))/2)/(E12*SQRT((E8/360)))</f>
        <v>-0.04517431654159252</v>
      </c>
      <c r="F18" s="57">
        <f>(LN(F5/F10)-(F12^2*(F8/360))/2)/(F12*SQRT((F8/360)))</f>
        <v>-0.03506656438118796</v>
      </c>
      <c r="G18" s="57">
        <f>(LN(G5/G10)-(G12^2*(G8/360))/2)/(G12*SQRT((G8/360)))</f>
        <v>-0.02045993646128941</v>
      </c>
      <c r="I18" s="57">
        <f>(LN(I5/I10)-(I12^2*(I8/360))/2)/(I12*SQRT((I8/360)))</f>
        <v>0.740136247116391</v>
      </c>
      <c r="J18" s="57">
        <f>(LN(J5/J10)-(J12^2*(J8/360))/2)/(J12*SQRT((J8/360)))</f>
        <v>1.4734000860967105</v>
      </c>
      <c r="L18" s="57">
        <f>(LN(L5/L10)-(L12^2*(L8/360))/2)/(L12*SQRT((L8/360)))</f>
        <v>-0.010087920405142638</v>
      </c>
    </row>
    <row r="20" spans="3:7" ht="12.75">
      <c r="C20" s="83" t="s">
        <v>93</v>
      </c>
      <c r="D20" s="83"/>
      <c r="E20" s="83"/>
      <c r="F20" s="83"/>
      <c r="G20" s="83"/>
    </row>
    <row r="21" spans="2:10" ht="12.75">
      <c r="B21" s="17" t="s">
        <v>78</v>
      </c>
      <c r="C21" s="29" t="s">
        <v>77</v>
      </c>
      <c r="D21" s="29" t="s">
        <v>77</v>
      </c>
      <c r="E21" s="29" t="s">
        <v>77</v>
      </c>
      <c r="F21" s="29" t="s">
        <v>77</v>
      </c>
      <c r="G21" s="29" t="s">
        <v>77</v>
      </c>
      <c r="I21" s="29" t="s">
        <v>77</v>
      </c>
      <c r="J21" s="29" t="s">
        <v>77</v>
      </c>
    </row>
    <row r="22" spans="2:10" ht="12.75">
      <c r="B22" s="17" t="s">
        <v>81</v>
      </c>
      <c r="C22" s="56">
        <v>40817</v>
      </c>
      <c r="D22" s="56">
        <v>40817</v>
      </c>
      <c r="E22" s="56">
        <v>40817</v>
      </c>
      <c r="F22" s="56">
        <v>40817</v>
      </c>
      <c r="G22" s="56">
        <v>40817</v>
      </c>
      <c r="I22" s="56">
        <v>40817</v>
      </c>
      <c r="J22" s="56">
        <v>40817</v>
      </c>
    </row>
    <row r="23" spans="2:10" ht="12.75">
      <c r="B23" s="17" t="s">
        <v>20</v>
      </c>
      <c r="C23" s="1">
        <v>136</v>
      </c>
      <c r="D23" s="1">
        <v>136</v>
      </c>
      <c r="E23" s="1">
        <v>136</v>
      </c>
      <c r="F23" s="1">
        <v>136</v>
      </c>
      <c r="G23" s="1">
        <v>136</v>
      </c>
      <c r="I23" s="60">
        <v>146</v>
      </c>
      <c r="J23" s="60">
        <v>146</v>
      </c>
    </row>
    <row r="25" spans="2:10" ht="12.75">
      <c r="B25" s="17" t="s">
        <v>79</v>
      </c>
      <c r="C25" s="56">
        <v>40617</v>
      </c>
      <c r="D25" s="59">
        <v>40709</v>
      </c>
      <c r="E25" s="59">
        <v>40739</v>
      </c>
      <c r="F25" s="59">
        <v>40770</v>
      </c>
      <c r="G25" s="59">
        <v>40801</v>
      </c>
      <c r="I25" s="56">
        <v>40739</v>
      </c>
      <c r="J25" s="56">
        <v>40739</v>
      </c>
    </row>
    <row r="26" spans="2:10" ht="12.75">
      <c r="B26" s="17" t="s">
        <v>80</v>
      </c>
      <c r="C26" s="54">
        <f>C22-C25</f>
        <v>200</v>
      </c>
      <c r="D26" s="54">
        <f>D22-D25</f>
        <v>108</v>
      </c>
      <c r="E26" s="54">
        <f>E22-E25</f>
        <v>78</v>
      </c>
      <c r="F26" s="54">
        <f>F22-F25</f>
        <v>47</v>
      </c>
      <c r="G26" s="54">
        <f>G22-G25</f>
        <v>16</v>
      </c>
      <c r="I26" s="54">
        <f>I22-I25</f>
        <v>78</v>
      </c>
      <c r="J26" s="54">
        <f>J22-J25</f>
        <v>78</v>
      </c>
    </row>
    <row r="28" spans="2:10" ht="12.75">
      <c r="B28" s="17" t="s">
        <v>12</v>
      </c>
      <c r="C28" s="1">
        <v>126</v>
      </c>
      <c r="D28" s="1">
        <v>126</v>
      </c>
      <c r="E28" s="1">
        <v>126</v>
      </c>
      <c r="F28" s="1">
        <v>126</v>
      </c>
      <c r="G28" s="1">
        <v>126</v>
      </c>
      <c r="I28" s="1">
        <v>126</v>
      </c>
      <c r="J28" s="1">
        <v>136</v>
      </c>
    </row>
    <row r="29" spans="2:10" ht="12.75">
      <c r="B29" s="17" t="s">
        <v>82</v>
      </c>
      <c r="C29" s="1">
        <f>$L$11</f>
        <v>0.0002</v>
      </c>
      <c r="D29" s="1">
        <f>$L$11</f>
        <v>0.0002</v>
      </c>
      <c r="E29" s="1">
        <f>$L$11</f>
        <v>0.0002</v>
      </c>
      <c r="F29" s="1">
        <f>$L$11</f>
        <v>0.0002</v>
      </c>
      <c r="G29" s="1">
        <f>$L$11</f>
        <v>0.0002</v>
      </c>
      <c r="I29" s="1">
        <f>$L$11</f>
        <v>0.0002</v>
      </c>
      <c r="J29" s="1">
        <f>$L$11</f>
        <v>0.0002</v>
      </c>
    </row>
    <row r="30" spans="2:10" ht="12.75">
      <c r="B30" s="17" t="s">
        <v>83</v>
      </c>
      <c r="C30" s="1">
        <v>0.1941</v>
      </c>
      <c r="D30" s="1">
        <v>0.1941</v>
      </c>
      <c r="E30" s="1">
        <v>0.1941</v>
      </c>
      <c r="F30" s="1">
        <v>0.1941</v>
      </c>
      <c r="G30" s="1">
        <v>0.1941</v>
      </c>
      <c r="I30" s="1">
        <v>0.1941</v>
      </c>
      <c r="J30" s="1">
        <v>0.1941</v>
      </c>
    </row>
    <row r="32" spans="2:10" ht="12.75">
      <c r="B32" s="17" t="s">
        <v>84</v>
      </c>
      <c r="C32" s="58">
        <f>-EXP(-C29*C26)*(C23*NORMSDIST(-C35)-C28*NORMSDIST(-C36))</f>
        <v>3.4402656564342045</v>
      </c>
      <c r="D32" s="58">
        <f>-EXP(-D29*D26)*(D23*NORMSDIST(-D35)-D28*NORMSDIST(-D36))</f>
        <v>1.8845723629819724</v>
      </c>
      <c r="E32" s="58">
        <f>-EXP(-E29*E26)*(E23*NORMSDIST(-E35)-E28*NORMSDIST(-E36))</f>
        <v>1.2905374040826554</v>
      </c>
      <c r="F32" s="58">
        <f>-EXP(-F29*F26)*(F23*NORMSDIST(-F35)-F28*NORMSDIST(-F36))</f>
        <v>0.6375568976494486</v>
      </c>
      <c r="G32" s="58">
        <f>-EXP(-G29*G26)*(G23*NORMSDIST(-G35)-G28*NORMSDIST(-G36))</f>
        <v>0.06436758357889025</v>
      </c>
      <c r="I32" s="58">
        <f>-EXP(-I29*I26)*(I23*NORMSDIST(-I35)-I28*NORMSDIST(-I36))</f>
        <v>0.2605753890527519</v>
      </c>
      <c r="J32" s="58">
        <f>-EXP(-J29*J26)*(J23*NORMSDIST(-J35)-J28*NORMSDIST(-J36))</f>
        <v>1.5451621052090705</v>
      </c>
    </row>
    <row r="33" spans="2:10" ht="12.75">
      <c r="B33" s="17" t="s">
        <v>85</v>
      </c>
      <c r="C33" s="58">
        <f>EXP(-C29*C26)*(C23*NORMSDIST(C35)-C28*NORMSDIST(C36))</f>
        <v>13.048160047957444</v>
      </c>
      <c r="D33" s="58">
        <f>EXP(-D29*D26)*(D23*NORMSDIST(D35)-D28*NORMSDIST(D36))</f>
        <v>11.670888457130818</v>
      </c>
      <c r="E33" s="58">
        <f>EXP(-E29*E26)*(E23*NORMSDIST(E35)-E28*NORMSDIST(E36))</f>
        <v>11.135747901322556</v>
      </c>
      <c r="F33" s="58">
        <f>EXP(-F29*F26)*(F23*NORMSDIST(F35)-F28*NORMSDIST(F36))</f>
        <v>10.543997316589794</v>
      </c>
      <c r="G33" s="58">
        <f>EXP(-G29*G26)*(G23*NORMSDIST(G35)-G28*NORMSDIST(G36))</f>
        <v>10.032418729009217</v>
      </c>
      <c r="I33" s="58">
        <f>EXP(-I29*I26)*(I23*NORMSDIST(I35)-I28*NORMSDIST(I36))</f>
        <v>19.950996383532562</v>
      </c>
      <c r="J33" s="58">
        <f>EXP(-J29*J26)*(J23*NORMSDIST(J35)-J28*NORMSDIST(J36))</f>
        <v>11.390372602448979</v>
      </c>
    </row>
    <row r="35" spans="2:10" ht="12.75" hidden="1">
      <c r="B35" s="17" t="s">
        <v>86</v>
      </c>
      <c r="C35" s="57">
        <f>(LN(C23/C28)+(C30^2*(C26/360))/2)/(C30*SQRT((C26/360)))</f>
        <v>0.6002353221214431</v>
      </c>
      <c r="D35" s="57">
        <f>(LN(D23/D28)+(D30^2*(D26/360))/2)/(D30*SQRT((D26/360)))</f>
        <v>0.7715353727834935</v>
      </c>
      <c r="E35" s="57">
        <f>(LN(E23/E28)+(E30^2*(E26/360))/2)/(E30*SQRT((E26/360)))</f>
        <v>0.8904884754647989</v>
      </c>
      <c r="F35" s="57">
        <f>(LN(F23/F28)+(F30^2*(F26/360))/2)/(F30*SQRT((F26/360)))</f>
        <v>1.1240380694646104</v>
      </c>
      <c r="G35" s="57">
        <f>(LN(G23/G28)+(G30^2*(G26/360))/2)/(G30*SQRT((G26/360)))</f>
        <v>1.8868630635939927</v>
      </c>
      <c r="I35" s="57">
        <f>(LN(I23/I28)+(I30^2*(I26/360))/2)/(I30*SQRT((I26/360)))</f>
        <v>1.6757990391227844</v>
      </c>
      <c r="J35" s="57">
        <f>(LN(J23/J28)+(J30^2*(J26/360))/2)/(J30*SQRT((J26/360)))</f>
        <v>0.8304848801995761</v>
      </c>
    </row>
    <row r="36" spans="2:10" ht="12.75" hidden="1">
      <c r="B36" s="17" t="s">
        <v>87</v>
      </c>
      <c r="C36" s="57">
        <f>(LN(C23/C28)-(C30^2*(C26/360))/2)/(C30*SQRT((C26/360)))</f>
        <v>0.45556172397720684</v>
      </c>
      <c r="D36" s="57">
        <f>(LN(D23/D28)-(D30^2*(D26/360))/2)/(D30*SQRT((D26/360)))</f>
        <v>0.6652224243717407</v>
      </c>
      <c r="E36" s="57">
        <f>(LN(E23/E28)-(E30^2*(E26/360))/2)/(E30*SQRT((E26/360)))</f>
        <v>0.8001398423816138</v>
      </c>
      <c r="F36" s="57">
        <f>(LN(F23/F28)-(F30^2*(F26/360))/2)/(F30*SQRT((F26/360)))</f>
        <v>1.0539049407022343</v>
      </c>
      <c r="G36" s="57">
        <f>(LN(G23/G28)-(G30^2*(G26/360))/2)/(G30*SQRT((G26/360)))</f>
        <v>1.8459431906714139</v>
      </c>
      <c r="I36" s="57">
        <f>(LN(I23/I28)-(I30^2*(I26/360))/2)/(I30*SQRT((I26/360)))</f>
        <v>1.5854504060395993</v>
      </c>
      <c r="J36" s="57">
        <f>(LN(J23/J28)-(J30^2*(J26/360))/2)/(J30*SQRT((J26/360)))</f>
        <v>0.740136247116391</v>
      </c>
    </row>
  </sheetData>
  <mergeCells count="3">
    <mergeCell ref="C2:G2"/>
    <mergeCell ref="I2:J2"/>
    <mergeCell ref="C20:G20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Koontz</dc:creator>
  <cp:keywords/>
  <dc:description/>
  <cp:lastModifiedBy>Stephen R. Koontz</cp:lastModifiedBy>
  <cp:lastPrinted>2011-08-08T17:18:36Z</cp:lastPrinted>
  <dcterms:created xsi:type="dcterms:W3CDTF">2001-10-22T15:30:25Z</dcterms:created>
  <dcterms:modified xsi:type="dcterms:W3CDTF">2011-08-10T18:09:14Z</dcterms:modified>
  <cp:category/>
  <cp:version/>
  <cp:contentType/>
  <cp:contentStatus/>
</cp:coreProperties>
</file>